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H:\PDQATEAM\MASTERWORKS(eDelivery)\FP24-14_Incentives_Spreadsheet\"/>
    </mc:Choice>
  </mc:AlternateContent>
  <xr:revisionPtr revIDLastSave="0" documentId="13_ncr:1_{DBA12384-8526-404D-B845-FD11ED506F84}" xr6:coauthVersionLast="47" xr6:coauthVersionMax="47" xr10:uidLastSave="{00000000-0000-0000-0000-000000000000}"/>
  <bookViews>
    <workbookView xWindow="-120" yWindow="-120" windowWidth="29040" windowHeight="15720" xr2:uid="{00000000-000D-0000-FFFF-FFFF00000000}"/>
  </bookViews>
  <sheets>
    <sheet name="Instructions" sheetId="48" r:id="rId1"/>
    <sheet name="SCH A" sheetId="1" r:id="rId2"/>
    <sheet name="inputSchA" sheetId="32" r:id="rId3"/>
    <sheet name="SCH B" sheetId="80" r:id="rId4"/>
    <sheet name="inputSchB" sheetId="71" r:id="rId5"/>
    <sheet name="SCH C" sheetId="81" r:id="rId6"/>
    <sheet name="inputSchC" sheetId="73" r:id="rId7"/>
    <sheet name="SCH D" sheetId="82" r:id="rId8"/>
    <sheet name="inputSchD" sheetId="75" r:id="rId9"/>
    <sheet name="SCH E" sheetId="83" r:id="rId10"/>
    <sheet name="inputSchE" sheetId="77" r:id="rId11"/>
    <sheet name="SCH F" sheetId="84" r:id="rId12"/>
    <sheet name="inputSchF" sheetId="79" r:id="rId13"/>
    <sheet name="Acquisition Incentive Summary" sheetId="5" r:id="rId14"/>
    <sheet name="VLookup table" sheetId="2" state="hidden" r:id="rId15"/>
  </sheets>
  <externalReferences>
    <externalReference r:id="rId16"/>
  </externalReferences>
  <definedNames>
    <definedName name="_xlnm._FilterDatabase" localSheetId="14" hidden="1">'VLookup table'!$H$1:$H$56</definedName>
    <definedName name="FP" localSheetId="3">'SCH B'!$E$3</definedName>
    <definedName name="FP" localSheetId="5">'SCH C'!$E$3</definedName>
    <definedName name="FP" localSheetId="7">'SCH D'!$E$3</definedName>
    <definedName name="FP" localSheetId="9">'SCH E'!$E$3</definedName>
    <definedName name="FP" localSheetId="11">'SCH F'!$E$3</definedName>
    <definedName name="FP">'SCH A'!$E$3</definedName>
    <definedName name="_xlnm.Print_Area" localSheetId="1">'SCH A'!$A$1:$J$78</definedName>
    <definedName name="_xlnm.Print_Area" localSheetId="3">'SCH B'!$A$1:$J$78</definedName>
    <definedName name="_xlnm.Print_Area" localSheetId="5">'SCH C'!$A$1:$J$78</definedName>
    <definedName name="_xlnm.Print_Area" localSheetId="7">'SCH D'!$A$1:$J$78</definedName>
    <definedName name="_xlnm.Print_Area" localSheetId="9">'SCH E'!$A$1:$J$78</definedName>
    <definedName name="_xlnm.Print_Area" localSheetId="11">'SCH F'!$A$1:$J$78</definedName>
    <definedName name="PROJECT">[1]Instructions!$I$6</definedName>
    <definedName name="Units" localSheetId="3">'SCH B'!$J$9</definedName>
    <definedName name="Units" localSheetId="5">'SCH C'!$J$9</definedName>
    <definedName name="Units" localSheetId="7">'SCH D'!$J$9</definedName>
    <definedName name="Units" localSheetId="9">'SCH E'!$J$9</definedName>
    <definedName name="Units" localSheetId="11">'SCH F'!$J$9</definedName>
    <definedName name="Units">'SCH A'!$J$9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81" l="1"/>
  <c r="H17" i="81"/>
  <c r="J17" i="81" s="1"/>
  <c r="H42" i="1"/>
  <c r="I42" i="1" s="1"/>
  <c r="D3" i="79"/>
  <c r="E3" i="79"/>
  <c r="D4" i="79"/>
  <c r="E4" i="79"/>
  <c r="D5" i="79"/>
  <c r="E5" i="79"/>
  <c r="D6" i="79"/>
  <c r="E6" i="79"/>
  <c r="D7" i="79"/>
  <c r="E7" i="79"/>
  <c r="D8" i="79"/>
  <c r="E8" i="79"/>
  <c r="D9" i="79"/>
  <c r="E9" i="79"/>
  <c r="D10" i="79"/>
  <c r="E10" i="79"/>
  <c r="D11" i="79"/>
  <c r="E11" i="79"/>
  <c r="D12" i="79"/>
  <c r="E12" i="79"/>
  <c r="D13" i="79"/>
  <c r="E13" i="79"/>
  <c r="D14" i="79"/>
  <c r="E14" i="79"/>
  <c r="D15" i="79"/>
  <c r="E15" i="79"/>
  <c r="D16" i="79"/>
  <c r="E16" i="79"/>
  <c r="D17" i="79"/>
  <c r="E17" i="79"/>
  <c r="D18" i="79"/>
  <c r="E18" i="79"/>
  <c r="D19" i="79"/>
  <c r="E19" i="79"/>
  <c r="D20" i="79"/>
  <c r="E20" i="79"/>
  <c r="D21" i="79"/>
  <c r="E21" i="79"/>
  <c r="D22" i="79"/>
  <c r="E22" i="79"/>
  <c r="D23" i="79"/>
  <c r="E23" i="79"/>
  <c r="D24" i="79"/>
  <c r="E24" i="79"/>
  <c r="D25" i="79"/>
  <c r="E25" i="79"/>
  <c r="D26" i="79"/>
  <c r="E26" i="79"/>
  <c r="D27" i="79"/>
  <c r="E27" i="79"/>
  <c r="D28" i="79"/>
  <c r="E28" i="79"/>
  <c r="D29" i="79"/>
  <c r="E29" i="79"/>
  <c r="D30" i="79"/>
  <c r="E30" i="79"/>
  <c r="D31" i="79"/>
  <c r="E31" i="79"/>
  <c r="D32" i="79"/>
  <c r="E32" i="79"/>
  <c r="D33" i="79"/>
  <c r="E33" i="79"/>
  <c r="D34" i="79"/>
  <c r="E34" i="79"/>
  <c r="D35" i="79"/>
  <c r="E35" i="79"/>
  <c r="D36" i="79"/>
  <c r="E36" i="79"/>
  <c r="D37" i="79"/>
  <c r="E37" i="79"/>
  <c r="D38" i="79"/>
  <c r="E38" i="79"/>
  <c r="D39" i="79"/>
  <c r="E39" i="79"/>
  <c r="D40" i="79"/>
  <c r="E40" i="79"/>
  <c r="D41" i="79"/>
  <c r="E41" i="79"/>
  <c r="D42" i="79"/>
  <c r="E42" i="79"/>
  <c r="D43" i="79"/>
  <c r="E43" i="79"/>
  <c r="D44" i="79"/>
  <c r="E44" i="79"/>
  <c r="D45" i="79"/>
  <c r="E45" i="79"/>
  <c r="D46" i="79"/>
  <c r="E46" i="79"/>
  <c r="D47" i="79"/>
  <c r="E47" i="79"/>
  <c r="D48" i="79"/>
  <c r="E48" i="79"/>
  <c r="D49" i="79"/>
  <c r="E49" i="79"/>
  <c r="D50" i="79"/>
  <c r="E50" i="79"/>
  <c r="D51" i="79"/>
  <c r="E51" i="79"/>
  <c r="D52" i="79"/>
  <c r="E52" i="79"/>
  <c r="D53" i="79"/>
  <c r="E53" i="79"/>
  <c r="D54" i="79"/>
  <c r="E54" i="79"/>
  <c r="D55" i="79"/>
  <c r="E55" i="79"/>
  <c r="D56" i="79"/>
  <c r="E56" i="79"/>
  <c r="D57" i="79"/>
  <c r="E57" i="79"/>
  <c r="D58" i="79"/>
  <c r="E58" i="79"/>
  <c r="D59" i="79"/>
  <c r="E59" i="79"/>
  <c r="D60" i="79"/>
  <c r="E60" i="79"/>
  <c r="D61" i="79"/>
  <c r="E61" i="79"/>
  <c r="D62" i="79"/>
  <c r="E62" i="79"/>
  <c r="D63" i="79"/>
  <c r="E63" i="79"/>
  <c r="D64" i="79"/>
  <c r="E64" i="79"/>
  <c r="D65" i="79"/>
  <c r="E65" i="79"/>
  <c r="D66" i="79"/>
  <c r="E66" i="79"/>
  <c r="D67" i="79"/>
  <c r="E67" i="79"/>
  <c r="D68" i="79"/>
  <c r="E68" i="79"/>
  <c r="D69" i="79"/>
  <c r="E69" i="79"/>
  <c r="D70" i="79"/>
  <c r="E70" i="79"/>
  <c r="D71" i="79"/>
  <c r="E71" i="79"/>
  <c r="D72" i="79"/>
  <c r="E72" i="79"/>
  <c r="D73" i="79"/>
  <c r="E73" i="79"/>
  <c r="D74" i="79"/>
  <c r="E74" i="79"/>
  <c r="D75" i="79"/>
  <c r="E75" i="79"/>
  <c r="D76" i="79"/>
  <c r="E76" i="79"/>
  <c r="D77" i="79"/>
  <c r="E77" i="79"/>
  <c r="D78" i="79"/>
  <c r="E78" i="79"/>
  <c r="D79" i="79"/>
  <c r="E79" i="79"/>
  <c r="D80" i="79"/>
  <c r="E80" i="79"/>
  <c r="D81" i="79"/>
  <c r="E81" i="79"/>
  <c r="D82" i="79"/>
  <c r="E82" i="79"/>
  <c r="D83" i="79"/>
  <c r="E83" i="79"/>
  <c r="D84" i="79"/>
  <c r="E84" i="79"/>
  <c r="D85" i="79"/>
  <c r="E85" i="79"/>
  <c r="D86" i="79"/>
  <c r="E86" i="79"/>
  <c r="D87" i="79"/>
  <c r="E87" i="79"/>
  <c r="D88" i="79"/>
  <c r="E88" i="79"/>
  <c r="D89" i="79"/>
  <c r="E89" i="79"/>
  <c r="D90" i="79"/>
  <c r="E90" i="79"/>
  <c r="D91" i="79"/>
  <c r="E91" i="79"/>
  <c r="D92" i="79"/>
  <c r="E92" i="79"/>
  <c r="D93" i="79"/>
  <c r="E93" i="79"/>
  <c r="D94" i="79"/>
  <c r="E94" i="79"/>
  <c r="D95" i="79"/>
  <c r="E95" i="79"/>
  <c r="D96" i="79"/>
  <c r="E96" i="79"/>
  <c r="D97" i="79"/>
  <c r="E97" i="79"/>
  <c r="D98" i="79"/>
  <c r="E98" i="79"/>
  <c r="D99" i="79"/>
  <c r="E99" i="79"/>
  <c r="D100" i="79"/>
  <c r="E100" i="79"/>
  <c r="D101" i="79"/>
  <c r="E101" i="79"/>
  <c r="D102" i="79"/>
  <c r="E102" i="79"/>
  <c r="D103" i="79"/>
  <c r="E103" i="79"/>
  <c r="D104" i="79"/>
  <c r="E104" i="79"/>
  <c r="D105" i="79"/>
  <c r="E105" i="79"/>
  <c r="D106" i="79"/>
  <c r="E106" i="79"/>
  <c r="D107" i="79"/>
  <c r="E107" i="79"/>
  <c r="D108" i="79"/>
  <c r="E108" i="79"/>
  <c r="D109" i="79"/>
  <c r="E109" i="79"/>
  <c r="D110" i="79"/>
  <c r="E110" i="79"/>
  <c r="D111" i="79"/>
  <c r="E111" i="79"/>
  <c r="D112" i="79"/>
  <c r="E112" i="79"/>
  <c r="D113" i="79"/>
  <c r="E113" i="79"/>
  <c r="D114" i="79"/>
  <c r="E114" i="79"/>
  <c r="D115" i="79"/>
  <c r="E115" i="79"/>
  <c r="D116" i="79"/>
  <c r="E116" i="79"/>
  <c r="D117" i="79"/>
  <c r="E117" i="79"/>
  <c r="D118" i="79"/>
  <c r="E118" i="79"/>
  <c r="D119" i="79"/>
  <c r="E119" i="79"/>
  <c r="D120" i="79"/>
  <c r="E120" i="79"/>
  <c r="D121" i="79"/>
  <c r="E121" i="79"/>
  <c r="D122" i="79"/>
  <c r="E122" i="79"/>
  <c r="D123" i="79"/>
  <c r="E123" i="79"/>
  <c r="D124" i="79"/>
  <c r="E124" i="79"/>
  <c r="D125" i="79"/>
  <c r="E125" i="79"/>
  <c r="D126" i="79"/>
  <c r="E126" i="79"/>
  <c r="D127" i="79"/>
  <c r="E127" i="79"/>
  <c r="D128" i="79"/>
  <c r="E128" i="79"/>
  <c r="D129" i="79"/>
  <c r="E129" i="79"/>
  <c r="D130" i="79"/>
  <c r="E130" i="79"/>
  <c r="D131" i="79"/>
  <c r="E131" i="79"/>
  <c r="D132" i="79"/>
  <c r="E132" i="79"/>
  <c r="D133" i="79"/>
  <c r="E133" i="79"/>
  <c r="D134" i="79"/>
  <c r="E134" i="79"/>
  <c r="D135" i="79"/>
  <c r="E135" i="79"/>
  <c r="D136" i="79"/>
  <c r="E136" i="79"/>
  <c r="D137" i="79"/>
  <c r="E137" i="79"/>
  <c r="D138" i="79"/>
  <c r="E138" i="79"/>
  <c r="D139" i="79"/>
  <c r="E139" i="79"/>
  <c r="D140" i="79"/>
  <c r="E140" i="79"/>
  <c r="D141" i="79"/>
  <c r="E141" i="79"/>
  <c r="D142" i="79"/>
  <c r="E142" i="79"/>
  <c r="D143" i="79"/>
  <c r="E143" i="79"/>
  <c r="D144" i="79"/>
  <c r="E144" i="79"/>
  <c r="D145" i="79"/>
  <c r="E145" i="79"/>
  <c r="D146" i="79"/>
  <c r="E146" i="79"/>
  <c r="D147" i="79"/>
  <c r="E147" i="79"/>
  <c r="D148" i="79"/>
  <c r="E148" i="79"/>
  <c r="D149" i="79"/>
  <c r="E149" i="79"/>
  <c r="D150" i="79"/>
  <c r="E150" i="79"/>
  <c r="D151" i="79"/>
  <c r="E151" i="79"/>
  <c r="D152" i="79"/>
  <c r="E152" i="79"/>
  <c r="D153" i="79"/>
  <c r="E153" i="79"/>
  <c r="D154" i="79"/>
  <c r="E154" i="79"/>
  <c r="D155" i="79"/>
  <c r="E155" i="79"/>
  <c r="D156" i="79"/>
  <c r="E156" i="79"/>
  <c r="D157" i="79"/>
  <c r="E157" i="79"/>
  <c r="D158" i="79"/>
  <c r="E158" i="79"/>
  <c r="D159" i="79"/>
  <c r="E159" i="79"/>
  <c r="D160" i="79"/>
  <c r="E160" i="79"/>
  <c r="D161" i="79"/>
  <c r="E161" i="79"/>
  <c r="D162" i="79"/>
  <c r="E162" i="79"/>
  <c r="D163" i="79"/>
  <c r="E163" i="79"/>
  <c r="D164" i="79"/>
  <c r="E164" i="79"/>
  <c r="D165" i="79"/>
  <c r="E165" i="79"/>
  <c r="D166" i="79"/>
  <c r="E166" i="79"/>
  <c r="D167" i="79"/>
  <c r="E167" i="79"/>
  <c r="D168" i="79"/>
  <c r="E168" i="79"/>
  <c r="D169" i="79"/>
  <c r="E169" i="79"/>
  <c r="D170" i="79"/>
  <c r="E170" i="79"/>
  <c r="D171" i="79"/>
  <c r="E171" i="79"/>
  <c r="D172" i="79"/>
  <c r="E172" i="79"/>
  <c r="D173" i="79"/>
  <c r="E173" i="79"/>
  <c r="D174" i="79"/>
  <c r="E174" i="79"/>
  <c r="D175" i="79"/>
  <c r="E175" i="79"/>
  <c r="D176" i="79"/>
  <c r="E176" i="79"/>
  <c r="D177" i="79"/>
  <c r="E177" i="79"/>
  <c r="D178" i="79"/>
  <c r="E178" i="79"/>
  <c r="D179" i="79"/>
  <c r="E179" i="79"/>
  <c r="D180" i="79"/>
  <c r="E180" i="79"/>
  <c r="D181" i="79"/>
  <c r="E181" i="79"/>
  <c r="D182" i="79"/>
  <c r="E182" i="79"/>
  <c r="D183" i="79"/>
  <c r="E183" i="79"/>
  <c r="D184" i="79"/>
  <c r="E184" i="79"/>
  <c r="D185" i="79"/>
  <c r="E185" i="79"/>
  <c r="D186" i="79"/>
  <c r="E186" i="79"/>
  <c r="D187" i="79"/>
  <c r="E187" i="79"/>
  <c r="D188" i="79"/>
  <c r="E188" i="79"/>
  <c r="E2" i="79"/>
  <c r="D2" i="79"/>
  <c r="D3" i="77"/>
  <c r="E3" i="77"/>
  <c r="D4" i="77"/>
  <c r="E4" i="77"/>
  <c r="D5" i="77"/>
  <c r="E5" i="77"/>
  <c r="D6" i="77"/>
  <c r="E6" i="77"/>
  <c r="D7" i="77"/>
  <c r="E7" i="77"/>
  <c r="D8" i="77"/>
  <c r="E8" i="77"/>
  <c r="D9" i="77"/>
  <c r="E9" i="77"/>
  <c r="D10" i="77"/>
  <c r="E10" i="77"/>
  <c r="D11" i="77"/>
  <c r="E11" i="77"/>
  <c r="D12" i="77"/>
  <c r="E12" i="77"/>
  <c r="D13" i="77"/>
  <c r="E13" i="77"/>
  <c r="D14" i="77"/>
  <c r="E14" i="77"/>
  <c r="D15" i="77"/>
  <c r="E15" i="77"/>
  <c r="D16" i="77"/>
  <c r="E16" i="77"/>
  <c r="D17" i="77"/>
  <c r="E17" i="77"/>
  <c r="D18" i="77"/>
  <c r="E18" i="77"/>
  <c r="D19" i="77"/>
  <c r="E19" i="77"/>
  <c r="D20" i="77"/>
  <c r="E20" i="77"/>
  <c r="D21" i="77"/>
  <c r="E21" i="77"/>
  <c r="D22" i="77"/>
  <c r="E22" i="77"/>
  <c r="D23" i="77"/>
  <c r="E23" i="77"/>
  <c r="D24" i="77"/>
  <c r="E24" i="77"/>
  <c r="D25" i="77"/>
  <c r="E25" i="77"/>
  <c r="D26" i="77"/>
  <c r="E26" i="77"/>
  <c r="D27" i="77"/>
  <c r="E27" i="77"/>
  <c r="D28" i="77"/>
  <c r="E28" i="77"/>
  <c r="D29" i="77"/>
  <c r="E29" i="77"/>
  <c r="D30" i="77"/>
  <c r="E30" i="77"/>
  <c r="D31" i="77"/>
  <c r="E31" i="77"/>
  <c r="D32" i="77"/>
  <c r="E32" i="77"/>
  <c r="D33" i="77"/>
  <c r="E33" i="77"/>
  <c r="D34" i="77"/>
  <c r="E34" i="77"/>
  <c r="D35" i="77"/>
  <c r="E35" i="77"/>
  <c r="D36" i="77"/>
  <c r="E36" i="77"/>
  <c r="D37" i="77"/>
  <c r="E37" i="77"/>
  <c r="D38" i="77"/>
  <c r="E38" i="77"/>
  <c r="D39" i="77"/>
  <c r="E39" i="77"/>
  <c r="D40" i="77"/>
  <c r="E40" i="77"/>
  <c r="D41" i="77"/>
  <c r="E41" i="77"/>
  <c r="D42" i="77"/>
  <c r="E42" i="77"/>
  <c r="D43" i="77"/>
  <c r="E43" i="77"/>
  <c r="D44" i="77"/>
  <c r="E44" i="77"/>
  <c r="D45" i="77"/>
  <c r="E45" i="77"/>
  <c r="D46" i="77"/>
  <c r="E46" i="77"/>
  <c r="D47" i="77"/>
  <c r="E47" i="77"/>
  <c r="D48" i="77"/>
  <c r="E48" i="77"/>
  <c r="D49" i="77"/>
  <c r="E49" i="77"/>
  <c r="D50" i="77"/>
  <c r="E50" i="77"/>
  <c r="D51" i="77"/>
  <c r="E51" i="77"/>
  <c r="D52" i="77"/>
  <c r="E52" i="77"/>
  <c r="D53" i="77"/>
  <c r="E53" i="77"/>
  <c r="D54" i="77"/>
  <c r="E54" i="77"/>
  <c r="D55" i="77"/>
  <c r="E55" i="77"/>
  <c r="D56" i="77"/>
  <c r="E56" i="77"/>
  <c r="D57" i="77"/>
  <c r="E57" i="77"/>
  <c r="D58" i="77"/>
  <c r="E58" i="77"/>
  <c r="D59" i="77"/>
  <c r="E59" i="77"/>
  <c r="D60" i="77"/>
  <c r="E60" i="77"/>
  <c r="D61" i="77"/>
  <c r="E61" i="77"/>
  <c r="D62" i="77"/>
  <c r="E62" i="77"/>
  <c r="D63" i="77"/>
  <c r="E63" i="77"/>
  <c r="D64" i="77"/>
  <c r="E64" i="77"/>
  <c r="D65" i="77"/>
  <c r="E65" i="77"/>
  <c r="D66" i="77"/>
  <c r="E66" i="77"/>
  <c r="D67" i="77"/>
  <c r="E67" i="77"/>
  <c r="D68" i="77"/>
  <c r="E68" i="77"/>
  <c r="D69" i="77"/>
  <c r="E69" i="77"/>
  <c r="D70" i="77"/>
  <c r="E70" i="77"/>
  <c r="D71" i="77"/>
  <c r="E71" i="77"/>
  <c r="D72" i="77"/>
  <c r="E72" i="77"/>
  <c r="D73" i="77"/>
  <c r="E73" i="77"/>
  <c r="D74" i="77"/>
  <c r="E74" i="77"/>
  <c r="D75" i="77"/>
  <c r="E75" i="77"/>
  <c r="D76" i="77"/>
  <c r="E76" i="77"/>
  <c r="D77" i="77"/>
  <c r="E77" i="77"/>
  <c r="D78" i="77"/>
  <c r="E78" i="77"/>
  <c r="D79" i="77"/>
  <c r="E79" i="77"/>
  <c r="D80" i="77"/>
  <c r="E80" i="77"/>
  <c r="D81" i="77"/>
  <c r="E81" i="77"/>
  <c r="D82" i="77"/>
  <c r="E82" i="77"/>
  <c r="D83" i="77"/>
  <c r="E83" i="77"/>
  <c r="D84" i="77"/>
  <c r="E84" i="77"/>
  <c r="D85" i="77"/>
  <c r="E85" i="77"/>
  <c r="D86" i="77"/>
  <c r="E86" i="77"/>
  <c r="D87" i="77"/>
  <c r="E87" i="77"/>
  <c r="D88" i="77"/>
  <c r="E88" i="77"/>
  <c r="D89" i="77"/>
  <c r="E89" i="77"/>
  <c r="D90" i="77"/>
  <c r="E90" i="77"/>
  <c r="D91" i="77"/>
  <c r="E91" i="77"/>
  <c r="D92" i="77"/>
  <c r="E92" i="77"/>
  <c r="D93" i="77"/>
  <c r="E93" i="77"/>
  <c r="D94" i="77"/>
  <c r="E94" i="77"/>
  <c r="D95" i="77"/>
  <c r="E95" i="77"/>
  <c r="D96" i="77"/>
  <c r="E96" i="77"/>
  <c r="D97" i="77"/>
  <c r="E97" i="77"/>
  <c r="D98" i="77"/>
  <c r="E98" i="77"/>
  <c r="D99" i="77"/>
  <c r="E99" i="77"/>
  <c r="D100" i="77"/>
  <c r="E100" i="77"/>
  <c r="D101" i="77"/>
  <c r="E101" i="77"/>
  <c r="D102" i="77"/>
  <c r="E102" i="77"/>
  <c r="D103" i="77"/>
  <c r="E103" i="77"/>
  <c r="D104" i="77"/>
  <c r="E104" i="77"/>
  <c r="D105" i="77"/>
  <c r="E105" i="77"/>
  <c r="D106" i="77"/>
  <c r="E106" i="77"/>
  <c r="D107" i="77"/>
  <c r="E107" i="77"/>
  <c r="D108" i="77"/>
  <c r="E108" i="77"/>
  <c r="D109" i="77"/>
  <c r="E109" i="77"/>
  <c r="D110" i="77"/>
  <c r="E110" i="77"/>
  <c r="D111" i="77"/>
  <c r="E111" i="77"/>
  <c r="D112" i="77"/>
  <c r="E112" i="77"/>
  <c r="D113" i="77"/>
  <c r="E113" i="77"/>
  <c r="D114" i="77"/>
  <c r="E114" i="77"/>
  <c r="D115" i="77"/>
  <c r="E115" i="77"/>
  <c r="D116" i="77"/>
  <c r="E116" i="77"/>
  <c r="D117" i="77"/>
  <c r="E117" i="77"/>
  <c r="D118" i="77"/>
  <c r="E118" i="77"/>
  <c r="D119" i="77"/>
  <c r="E119" i="77"/>
  <c r="D120" i="77"/>
  <c r="E120" i="77"/>
  <c r="D121" i="77"/>
  <c r="E121" i="77"/>
  <c r="D122" i="77"/>
  <c r="E122" i="77"/>
  <c r="D123" i="77"/>
  <c r="E123" i="77"/>
  <c r="D124" i="77"/>
  <c r="E124" i="77"/>
  <c r="D125" i="77"/>
  <c r="E125" i="77"/>
  <c r="D126" i="77"/>
  <c r="E126" i="77"/>
  <c r="D127" i="77"/>
  <c r="E127" i="77"/>
  <c r="D128" i="77"/>
  <c r="E128" i="77"/>
  <c r="D129" i="77"/>
  <c r="E129" i="77"/>
  <c r="D130" i="77"/>
  <c r="E130" i="77"/>
  <c r="D131" i="77"/>
  <c r="E131" i="77"/>
  <c r="D132" i="77"/>
  <c r="E132" i="77"/>
  <c r="D133" i="77"/>
  <c r="E133" i="77"/>
  <c r="D134" i="77"/>
  <c r="E134" i="77"/>
  <c r="D135" i="77"/>
  <c r="E135" i="77"/>
  <c r="D136" i="77"/>
  <c r="E136" i="77"/>
  <c r="D137" i="77"/>
  <c r="E137" i="77"/>
  <c r="D138" i="77"/>
  <c r="E138" i="77"/>
  <c r="D139" i="77"/>
  <c r="E139" i="77"/>
  <c r="D140" i="77"/>
  <c r="E140" i="77"/>
  <c r="D141" i="77"/>
  <c r="E141" i="77"/>
  <c r="D142" i="77"/>
  <c r="E142" i="77"/>
  <c r="D143" i="77"/>
  <c r="E143" i="77"/>
  <c r="D144" i="77"/>
  <c r="E144" i="77"/>
  <c r="D145" i="77"/>
  <c r="E145" i="77"/>
  <c r="D146" i="77"/>
  <c r="E146" i="77"/>
  <c r="D147" i="77"/>
  <c r="E147" i="77"/>
  <c r="D148" i="77"/>
  <c r="E148" i="77"/>
  <c r="D149" i="77"/>
  <c r="E149" i="77"/>
  <c r="D150" i="77"/>
  <c r="E150" i="77"/>
  <c r="D151" i="77"/>
  <c r="E151" i="77"/>
  <c r="D152" i="77"/>
  <c r="E152" i="77"/>
  <c r="D153" i="77"/>
  <c r="E153" i="77"/>
  <c r="D154" i="77"/>
  <c r="E154" i="77"/>
  <c r="D155" i="77"/>
  <c r="E155" i="77"/>
  <c r="D156" i="77"/>
  <c r="E156" i="77"/>
  <c r="D157" i="77"/>
  <c r="E157" i="77"/>
  <c r="D158" i="77"/>
  <c r="E158" i="77"/>
  <c r="D159" i="77"/>
  <c r="E159" i="77"/>
  <c r="D160" i="77"/>
  <c r="E160" i="77"/>
  <c r="D161" i="77"/>
  <c r="E161" i="77"/>
  <c r="D162" i="77"/>
  <c r="E162" i="77"/>
  <c r="D163" i="77"/>
  <c r="E163" i="77"/>
  <c r="D164" i="77"/>
  <c r="E164" i="77"/>
  <c r="D165" i="77"/>
  <c r="E165" i="77"/>
  <c r="D166" i="77"/>
  <c r="E166" i="77"/>
  <c r="D167" i="77"/>
  <c r="E167" i="77"/>
  <c r="D168" i="77"/>
  <c r="E168" i="77"/>
  <c r="D169" i="77"/>
  <c r="E169" i="77"/>
  <c r="D170" i="77"/>
  <c r="E170" i="77"/>
  <c r="D171" i="77"/>
  <c r="E171" i="77"/>
  <c r="D172" i="77"/>
  <c r="E172" i="77"/>
  <c r="D173" i="77"/>
  <c r="E173" i="77"/>
  <c r="D174" i="77"/>
  <c r="E174" i="77"/>
  <c r="D175" i="77"/>
  <c r="E175" i="77"/>
  <c r="D176" i="77"/>
  <c r="E176" i="77"/>
  <c r="D177" i="77"/>
  <c r="E177" i="77"/>
  <c r="D178" i="77"/>
  <c r="E178" i="77"/>
  <c r="D179" i="77"/>
  <c r="E179" i="77"/>
  <c r="D180" i="77"/>
  <c r="E180" i="77"/>
  <c r="D181" i="77"/>
  <c r="E181" i="77"/>
  <c r="D182" i="77"/>
  <c r="E182" i="77"/>
  <c r="D183" i="77"/>
  <c r="E183" i="77"/>
  <c r="D184" i="77"/>
  <c r="E184" i="77"/>
  <c r="D185" i="77"/>
  <c r="E185" i="77"/>
  <c r="D186" i="77"/>
  <c r="E186" i="77"/>
  <c r="D187" i="77"/>
  <c r="E187" i="77"/>
  <c r="E2" i="77"/>
  <c r="D2" i="77"/>
  <c r="D3" i="75"/>
  <c r="E3" i="75"/>
  <c r="D4" i="75"/>
  <c r="E4" i="75"/>
  <c r="D5" i="75"/>
  <c r="E5" i="75"/>
  <c r="D6" i="75"/>
  <c r="E6" i="75"/>
  <c r="D7" i="75"/>
  <c r="E7" i="75"/>
  <c r="D8" i="75"/>
  <c r="E8" i="75"/>
  <c r="D9" i="75"/>
  <c r="E9" i="75"/>
  <c r="D10" i="75"/>
  <c r="E10" i="75"/>
  <c r="D11" i="75"/>
  <c r="E11" i="75"/>
  <c r="D12" i="75"/>
  <c r="E12" i="75"/>
  <c r="D13" i="75"/>
  <c r="E13" i="75"/>
  <c r="D14" i="75"/>
  <c r="E14" i="75"/>
  <c r="D15" i="75"/>
  <c r="E15" i="75"/>
  <c r="D16" i="75"/>
  <c r="E16" i="75"/>
  <c r="D17" i="75"/>
  <c r="E17" i="75"/>
  <c r="D18" i="75"/>
  <c r="E18" i="75"/>
  <c r="D19" i="75"/>
  <c r="E19" i="75"/>
  <c r="D20" i="75"/>
  <c r="E20" i="75"/>
  <c r="D21" i="75"/>
  <c r="E21" i="75"/>
  <c r="D22" i="75"/>
  <c r="E22" i="75"/>
  <c r="D23" i="75"/>
  <c r="E23" i="75"/>
  <c r="D24" i="75"/>
  <c r="E24" i="75"/>
  <c r="D25" i="75"/>
  <c r="E25" i="75"/>
  <c r="D26" i="75"/>
  <c r="E26" i="75"/>
  <c r="D27" i="75"/>
  <c r="E27" i="75"/>
  <c r="D28" i="75"/>
  <c r="E28" i="75"/>
  <c r="D29" i="75"/>
  <c r="E29" i="75"/>
  <c r="D30" i="75"/>
  <c r="E30" i="75"/>
  <c r="D31" i="75"/>
  <c r="E31" i="75"/>
  <c r="D32" i="75"/>
  <c r="E32" i="75"/>
  <c r="D33" i="75"/>
  <c r="E33" i="75"/>
  <c r="D34" i="75"/>
  <c r="E34" i="75"/>
  <c r="D35" i="75"/>
  <c r="E35" i="75"/>
  <c r="D36" i="75"/>
  <c r="E36" i="75"/>
  <c r="D37" i="75"/>
  <c r="E37" i="75"/>
  <c r="D38" i="75"/>
  <c r="E38" i="75"/>
  <c r="D39" i="75"/>
  <c r="E39" i="75"/>
  <c r="D40" i="75"/>
  <c r="E40" i="75"/>
  <c r="D41" i="75"/>
  <c r="E41" i="75"/>
  <c r="D42" i="75"/>
  <c r="E42" i="75"/>
  <c r="D43" i="75"/>
  <c r="E43" i="75"/>
  <c r="D44" i="75"/>
  <c r="E44" i="75"/>
  <c r="D45" i="75"/>
  <c r="E45" i="75"/>
  <c r="D46" i="75"/>
  <c r="E46" i="75"/>
  <c r="D47" i="75"/>
  <c r="E47" i="75"/>
  <c r="D48" i="75"/>
  <c r="E48" i="75"/>
  <c r="D49" i="75"/>
  <c r="E49" i="75"/>
  <c r="D50" i="75"/>
  <c r="E50" i="75"/>
  <c r="D51" i="75"/>
  <c r="E51" i="75"/>
  <c r="D52" i="75"/>
  <c r="E52" i="75"/>
  <c r="D53" i="75"/>
  <c r="E53" i="75"/>
  <c r="D54" i="75"/>
  <c r="E54" i="75"/>
  <c r="D55" i="75"/>
  <c r="E55" i="75"/>
  <c r="D56" i="75"/>
  <c r="E56" i="75"/>
  <c r="D57" i="75"/>
  <c r="E57" i="75"/>
  <c r="D58" i="75"/>
  <c r="E58" i="75"/>
  <c r="D59" i="75"/>
  <c r="E59" i="75"/>
  <c r="D60" i="75"/>
  <c r="E60" i="75"/>
  <c r="D61" i="75"/>
  <c r="E61" i="75"/>
  <c r="D62" i="75"/>
  <c r="E62" i="75"/>
  <c r="D63" i="75"/>
  <c r="E63" i="75"/>
  <c r="D64" i="75"/>
  <c r="E64" i="75"/>
  <c r="D65" i="75"/>
  <c r="E65" i="75"/>
  <c r="D66" i="75"/>
  <c r="E66" i="75"/>
  <c r="D67" i="75"/>
  <c r="E67" i="75"/>
  <c r="D68" i="75"/>
  <c r="E68" i="75"/>
  <c r="D69" i="75"/>
  <c r="E69" i="75"/>
  <c r="D70" i="75"/>
  <c r="E70" i="75"/>
  <c r="D71" i="75"/>
  <c r="E71" i="75"/>
  <c r="D72" i="75"/>
  <c r="E72" i="75"/>
  <c r="D73" i="75"/>
  <c r="E73" i="75"/>
  <c r="D74" i="75"/>
  <c r="E74" i="75"/>
  <c r="D75" i="75"/>
  <c r="E75" i="75"/>
  <c r="D76" i="75"/>
  <c r="E76" i="75"/>
  <c r="D77" i="75"/>
  <c r="E77" i="75"/>
  <c r="D78" i="75"/>
  <c r="E78" i="75"/>
  <c r="D79" i="75"/>
  <c r="E79" i="75"/>
  <c r="D80" i="75"/>
  <c r="E80" i="75"/>
  <c r="D81" i="75"/>
  <c r="E81" i="75"/>
  <c r="D82" i="75"/>
  <c r="E82" i="75"/>
  <c r="D83" i="75"/>
  <c r="E83" i="75"/>
  <c r="D84" i="75"/>
  <c r="E84" i="75"/>
  <c r="D85" i="75"/>
  <c r="E85" i="75"/>
  <c r="D86" i="75"/>
  <c r="E86" i="75"/>
  <c r="D87" i="75"/>
  <c r="E87" i="75"/>
  <c r="D88" i="75"/>
  <c r="E88" i="75"/>
  <c r="D89" i="75"/>
  <c r="E89" i="75"/>
  <c r="D90" i="75"/>
  <c r="E90" i="75"/>
  <c r="D91" i="75"/>
  <c r="E91" i="75"/>
  <c r="D92" i="75"/>
  <c r="E92" i="75"/>
  <c r="D93" i="75"/>
  <c r="E93" i="75"/>
  <c r="D94" i="75"/>
  <c r="E94" i="75"/>
  <c r="D95" i="75"/>
  <c r="E95" i="75"/>
  <c r="D96" i="75"/>
  <c r="E96" i="75"/>
  <c r="D97" i="75"/>
  <c r="E97" i="75"/>
  <c r="D98" i="75"/>
  <c r="E98" i="75"/>
  <c r="D99" i="75"/>
  <c r="E99" i="75"/>
  <c r="D100" i="75"/>
  <c r="E100" i="75"/>
  <c r="D101" i="75"/>
  <c r="E101" i="75"/>
  <c r="D102" i="75"/>
  <c r="E102" i="75"/>
  <c r="D103" i="75"/>
  <c r="E103" i="75"/>
  <c r="D104" i="75"/>
  <c r="E104" i="75"/>
  <c r="D105" i="75"/>
  <c r="E105" i="75"/>
  <c r="D106" i="75"/>
  <c r="E106" i="75"/>
  <c r="D107" i="75"/>
  <c r="E107" i="75"/>
  <c r="D108" i="75"/>
  <c r="E108" i="75"/>
  <c r="D109" i="75"/>
  <c r="E109" i="75"/>
  <c r="D110" i="75"/>
  <c r="E110" i="75"/>
  <c r="D111" i="75"/>
  <c r="E111" i="75"/>
  <c r="D112" i="75"/>
  <c r="E112" i="75"/>
  <c r="D113" i="75"/>
  <c r="E113" i="75"/>
  <c r="D114" i="75"/>
  <c r="E114" i="75"/>
  <c r="D115" i="75"/>
  <c r="E115" i="75"/>
  <c r="D116" i="75"/>
  <c r="E116" i="75"/>
  <c r="D117" i="75"/>
  <c r="E117" i="75"/>
  <c r="D118" i="75"/>
  <c r="E118" i="75"/>
  <c r="D119" i="75"/>
  <c r="E119" i="75"/>
  <c r="D120" i="75"/>
  <c r="E120" i="75"/>
  <c r="D121" i="75"/>
  <c r="E121" i="75"/>
  <c r="D122" i="75"/>
  <c r="E122" i="75"/>
  <c r="D123" i="75"/>
  <c r="E123" i="75"/>
  <c r="D124" i="75"/>
  <c r="E124" i="75"/>
  <c r="D125" i="75"/>
  <c r="E125" i="75"/>
  <c r="D126" i="75"/>
  <c r="E126" i="75"/>
  <c r="D127" i="75"/>
  <c r="E127" i="75"/>
  <c r="D128" i="75"/>
  <c r="E128" i="75"/>
  <c r="D129" i="75"/>
  <c r="E129" i="75"/>
  <c r="D130" i="75"/>
  <c r="E130" i="75"/>
  <c r="D131" i="75"/>
  <c r="E131" i="75"/>
  <c r="D132" i="75"/>
  <c r="E132" i="75"/>
  <c r="D133" i="75"/>
  <c r="E133" i="75"/>
  <c r="D134" i="75"/>
  <c r="E134" i="75"/>
  <c r="D135" i="75"/>
  <c r="E135" i="75"/>
  <c r="D136" i="75"/>
  <c r="E136" i="75"/>
  <c r="D137" i="75"/>
  <c r="E137" i="75"/>
  <c r="D138" i="75"/>
  <c r="E138" i="75"/>
  <c r="D139" i="75"/>
  <c r="E139" i="75"/>
  <c r="D140" i="75"/>
  <c r="E140" i="75"/>
  <c r="D141" i="75"/>
  <c r="E141" i="75"/>
  <c r="D142" i="75"/>
  <c r="E142" i="75"/>
  <c r="D143" i="75"/>
  <c r="E143" i="75"/>
  <c r="E2" i="75"/>
  <c r="D2" i="75"/>
  <c r="D3" i="73"/>
  <c r="E3" i="73"/>
  <c r="D4" i="73"/>
  <c r="E4" i="73"/>
  <c r="D5" i="73"/>
  <c r="E5" i="73"/>
  <c r="D6" i="73"/>
  <c r="E6" i="73"/>
  <c r="D7" i="73"/>
  <c r="E7" i="73"/>
  <c r="D8" i="73"/>
  <c r="E8" i="73"/>
  <c r="D9" i="73"/>
  <c r="E9" i="73"/>
  <c r="D10" i="73"/>
  <c r="E10" i="73"/>
  <c r="D11" i="73"/>
  <c r="E11" i="73"/>
  <c r="D12" i="73"/>
  <c r="E12" i="73"/>
  <c r="D13" i="73"/>
  <c r="E13" i="73"/>
  <c r="D14" i="73"/>
  <c r="E14" i="73"/>
  <c r="D15" i="73"/>
  <c r="E15" i="73"/>
  <c r="D16" i="73"/>
  <c r="E16" i="73"/>
  <c r="D17" i="73"/>
  <c r="E17" i="73"/>
  <c r="D18" i="73"/>
  <c r="E18" i="73"/>
  <c r="D19" i="73"/>
  <c r="E19" i="73"/>
  <c r="D20" i="73"/>
  <c r="E20" i="73"/>
  <c r="D21" i="73"/>
  <c r="E21" i="73"/>
  <c r="D22" i="73"/>
  <c r="E22" i="73"/>
  <c r="D23" i="73"/>
  <c r="E23" i="73"/>
  <c r="D24" i="73"/>
  <c r="E24" i="73"/>
  <c r="D25" i="73"/>
  <c r="E25" i="73"/>
  <c r="D26" i="73"/>
  <c r="E26" i="73"/>
  <c r="D27" i="73"/>
  <c r="E27" i="73"/>
  <c r="D28" i="73"/>
  <c r="E28" i="73"/>
  <c r="D29" i="73"/>
  <c r="E29" i="73"/>
  <c r="D30" i="73"/>
  <c r="E30" i="73"/>
  <c r="D31" i="73"/>
  <c r="E31" i="73"/>
  <c r="D32" i="73"/>
  <c r="E32" i="73"/>
  <c r="D33" i="73"/>
  <c r="E33" i="73"/>
  <c r="D34" i="73"/>
  <c r="E34" i="73"/>
  <c r="D35" i="73"/>
  <c r="E35" i="73"/>
  <c r="D36" i="73"/>
  <c r="E36" i="73"/>
  <c r="D37" i="73"/>
  <c r="E37" i="73"/>
  <c r="D38" i="73"/>
  <c r="E38" i="73"/>
  <c r="D39" i="73"/>
  <c r="E39" i="73"/>
  <c r="D40" i="73"/>
  <c r="E40" i="73"/>
  <c r="D41" i="73"/>
  <c r="E41" i="73"/>
  <c r="D42" i="73"/>
  <c r="E42" i="73"/>
  <c r="D43" i="73"/>
  <c r="E43" i="73"/>
  <c r="D44" i="73"/>
  <c r="E44" i="73"/>
  <c r="D45" i="73"/>
  <c r="E45" i="73"/>
  <c r="D46" i="73"/>
  <c r="E46" i="73"/>
  <c r="D47" i="73"/>
  <c r="E47" i="73"/>
  <c r="D48" i="73"/>
  <c r="E48" i="73"/>
  <c r="D49" i="73"/>
  <c r="E49" i="73"/>
  <c r="D50" i="73"/>
  <c r="E50" i="73"/>
  <c r="D51" i="73"/>
  <c r="E51" i="73"/>
  <c r="D52" i="73"/>
  <c r="E52" i="73"/>
  <c r="D53" i="73"/>
  <c r="E53" i="73"/>
  <c r="D54" i="73"/>
  <c r="E54" i="73"/>
  <c r="D55" i="73"/>
  <c r="E55" i="73"/>
  <c r="D56" i="73"/>
  <c r="E56" i="73"/>
  <c r="D57" i="73"/>
  <c r="E57" i="73"/>
  <c r="D58" i="73"/>
  <c r="E58" i="73"/>
  <c r="D59" i="73"/>
  <c r="E59" i="73"/>
  <c r="D60" i="73"/>
  <c r="E60" i="73"/>
  <c r="D61" i="73"/>
  <c r="E61" i="73"/>
  <c r="D62" i="73"/>
  <c r="E62" i="73"/>
  <c r="D63" i="73"/>
  <c r="E63" i="73"/>
  <c r="D64" i="73"/>
  <c r="E64" i="73"/>
  <c r="D65" i="73"/>
  <c r="E65" i="73"/>
  <c r="D66" i="73"/>
  <c r="E66" i="73"/>
  <c r="D67" i="73"/>
  <c r="E67" i="73"/>
  <c r="D68" i="73"/>
  <c r="E68" i="73"/>
  <c r="D69" i="73"/>
  <c r="E69" i="73"/>
  <c r="D70" i="73"/>
  <c r="E70" i="73"/>
  <c r="D71" i="73"/>
  <c r="E71" i="73"/>
  <c r="D72" i="73"/>
  <c r="E72" i="73"/>
  <c r="D73" i="73"/>
  <c r="E73" i="73"/>
  <c r="D74" i="73"/>
  <c r="E74" i="73"/>
  <c r="D75" i="73"/>
  <c r="E75" i="73"/>
  <c r="D76" i="73"/>
  <c r="E76" i="73"/>
  <c r="D77" i="73"/>
  <c r="E77" i="73"/>
  <c r="D78" i="73"/>
  <c r="E78" i="73"/>
  <c r="D79" i="73"/>
  <c r="E79" i="73"/>
  <c r="D80" i="73"/>
  <c r="E80" i="73"/>
  <c r="D81" i="73"/>
  <c r="E81" i="73"/>
  <c r="D82" i="73"/>
  <c r="E82" i="73"/>
  <c r="D83" i="73"/>
  <c r="E83" i="73"/>
  <c r="D84" i="73"/>
  <c r="E84" i="73"/>
  <c r="D85" i="73"/>
  <c r="E85" i="73"/>
  <c r="D86" i="73"/>
  <c r="E86" i="73"/>
  <c r="D87" i="73"/>
  <c r="E87" i="73"/>
  <c r="D88" i="73"/>
  <c r="E88" i="73"/>
  <c r="D89" i="73"/>
  <c r="E89" i="73"/>
  <c r="D90" i="73"/>
  <c r="E90" i="73"/>
  <c r="D91" i="73"/>
  <c r="E91" i="73"/>
  <c r="D92" i="73"/>
  <c r="E92" i="73"/>
  <c r="D93" i="73"/>
  <c r="E93" i="73"/>
  <c r="D94" i="73"/>
  <c r="E94" i="73"/>
  <c r="D95" i="73"/>
  <c r="E95" i="73"/>
  <c r="D96" i="73"/>
  <c r="E96" i="73"/>
  <c r="D97" i="73"/>
  <c r="E97" i="73"/>
  <c r="D98" i="73"/>
  <c r="E98" i="73"/>
  <c r="D99" i="73"/>
  <c r="E99" i="73"/>
  <c r="D100" i="73"/>
  <c r="E100" i="73"/>
  <c r="D101" i="73"/>
  <c r="E101" i="73"/>
  <c r="D102" i="73"/>
  <c r="E102" i="73"/>
  <c r="D103" i="73"/>
  <c r="E103" i="73"/>
  <c r="D104" i="73"/>
  <c r="E104" i="73"/>
  <c r="D105" i="73"/>
  <c r="E105" i="73"/>
  <c r="D106" i="73"/>
  <c r="E106" i="73"/>
  <c r="D107" i="73"/>
  <c r="E107" i="73"/>
  <c r="D108" i="73"/>
  <c r="E108" i="73"/>
  <c r="D109" i="73"/>
  <c r="E109" i="73"/>
  <c r="D110" i="73"/>
  <c r="E110" i="73"/>
  <c r="D111" i="73"/>
  <c r="E111" i="73"/>
  <c r="D112" i="73"/>
  <c r="E112" i="73"/>
  <c r="D113" i="73"/>
  <c r="E113" i="73"/>
  <c r="D114" i="73"/>
  <c r="E114" i="73"/>
  <c r="D115" i="73"/>
  <c r="E115" i="73"/>
  <c r="D116" i="73"/>
  <c r="E116" i="73"/>
  <c r="D117" i="73"/>
  <c r="E117" i="73"/>
  <c r="D118" i="73"/>
  <c r="E118" i="73"/>
  <c r="D119" i="73"/>
  <c r="E119" i="73"/>
  <c r="D120" i="73"/>
  <c r="E120" i="73"/>
  <c r="D121" i="73"/>
  <c r="E121" i="73"/>
  <c r="D122" i="73"/>
  <c r="E122" i="73"/>
  <c r="D123" i="73"/>
  <c r="E123" i="73"/>
  <c r="D124" i="73"/>
  <c r="E124" i="73"/>
  <c r="D125" i="73"/>
  <c r="E125" i="73"/>
  <c r="D126" i="73"/>
  <c r="E126" i="73"/>
  <c r="D127" i="73"/>
  <c r="E127" i="73"/>
  <c r="D128" i="73"/>
  <c r="E128" i="73"/>
  <c r="D129" i="73"/>
  <c r="E129" i="73"/>
  <c r="D130" i="73"/>
  <c r="E130" i="73"/>
  <c r="D131" i="73"/>
  <c r="E131" i="73"/>
  <c r="D132" i="73"/>
  <c r="E132" i="73"/>
  <c r="D133" i="73"/>
  <c r="E133" i="73"/>
  <c r="D134" i="73"/>
  <c r="E134" i="73"/>
  <c r="D135" i="73"/>
  <c r="E135" i="73"/>
  <c r="D136" i="73"/>
  <c r="E136" i="73"/>
  <c r="D137" i="73"/>
  <c r="E137" i="73"/>
  <c r="D138" i="73"/>
  <c r="E138" i="73"/>
  <c r="D139" i="73"/>
  <c r="E139" i="73"/>
  <c r="D140" i="73"/>
  <c r="E140" i="73"/>
  <c r="D141" i="73"/>
  <c r="E141" i="73"/>
  <c r="D142" i="73"/>
  <c r="E142" i="73"/>
  <c r="D143" i="73"/>
  <c r="E143" i="73"/>
  <c r="E2" i="73"/>
  <c r="D2" i="73"/>
  <c r="D3" i="71"/>
  <c r="E3" i="71"/>
  <c r="D4" i="71"/>
  <c r="E4" i="71"/>
  <c r="D5" i="71"/>
  <c r="E5" i="71"/>
  <c r="D6" i="71"/>
  <c r="E6" i="71"/>
  <c r="D7" i="71"/>
  <c r="E7" i="71"/>
  <c r="D8" i="71"/>
  <c r="E8" i="71"/>
  <c r="D9" i="71"/>
  <c r="E9" i="71"/>
  <c r="D10" i="71"/>
  <c r="E10" i="71"/>
  <c r="D11" i="71"/>
  <c r="E11" i="71"/>
  <c r="D12" i="71"/>
  <c r="E12" i="71"/>
  <c r="D13" i="71"/>
  <c r="E13" i="71"/>
  <c r="D14" i="71"/>
  <c r="E14" i="71"/>
  <c r="D15" i="71"/>
  <c r="E15" i="71"/>
  <c r="D16" i="71"/>
  <c r="E16" i="71"/>
  <c r="D17" i="71"/>
  <c r="E17" i="71"/>
  <c r="D18" i="71"/>
  <c r="E18" i="71"/>
  <c r="D19" i="71"/>
  <c r="E19" i="71"/>
  <c r="D20" i="71"/>
  <c r="E20" i="71"/>
  <c r="D21" i="71"/>
  <c r="E21" i="71"/>
  <c r="D22" i="71"/>
  <c r="E22" i="71"/>
  <c r="D23" i="71"/>
  <c r="E23" i="71"/>
  <c r="D24" i="71"/>
  <c r="E24" i="71"/>
  <c r="D25" i="71"/>
  <c r="E25" i="71"/>
  <c r="D26" i="71"/>
  <c r="E26" i="71"/>
  <c r="D27" i="71"/>
  <c r="E27" i="71"/>
  <c r="D28" i="71"/>
  <c r="E28" i="71"/>
  <c r="D29" i="71"/>
  <c r="E29" i="71"/>
  <c r="D30" i="71"/>
  <c r="E30" i="71"/>
  <c r="D31" i="71"/>
  <c r="E31" i="71"/>
  <c r="D32" i="71"/>
  <c r="E32" i="71"/>
  <c r="D33" i="71"/>
  <c r="E33" i="71"/>
  <c r="D34" i="71"/>
  <c r="E34" i="71"/>
  <c r="D35" i="71"/>
  <c r="E35" i="71"/>
  <c r="D36" i="71"/>
  <c r="E36" i="71"/>
  <c r="D37" i="71"/>
  <c r="E37" i="71"/>
  <c r="D38" i="71"/>
  <c r="E38" i="71"/>
  <c r="D39" i="71"/>
  <c r="E39" i="71"/>
  <c r="D40" i="71"/>
  <c r="E40" i="71"/>
  <c r="D41" i="71"/>
  <c r="E41" i="71"/>
  <c r="D42" i="71"/>
  <c r="E42" i="71"/>
  <c r="D43" i="71"/>
  <c r="E43" i="71"/>
  <c r="D44" i="71"/>
  <c r="E44" i="71"/>
  <c r="D45" i="71"/>
  <c r="E45" i="71"/>
  <c r="D46" i="71"/>
  <c r="E46" i="71"/>
  <c r="D47" i="71"/>
  <c r="E47" i="71"/>
  <c r="D48" i="71"/>
  <c r="E48" i="71"/>
  <c r="D49" i="71"/>
  <c r="E49" i="71"/>
  <c r="D50" i="71"/>
  <c r="E50" i="71"/>
  <c r="D51" i="71"/>
  <c r="E51" i="71"/>
  <c r="D52" i="71"/>
  <c r="E52" i="71"/>
  <c r="D53" i="71"/>
  <c r="E53" i="71"/>
  <c r="D54" i="71"/>
  <c r="E54" i="71"/>
  <c r="D55" i="71"/>
  <c r="E55" i="71"/>
  <c r="D56" i="71"/>
  <c r="E56" i="71"/>
  <c r="D57" i="71"/>
  <c r="E57" i="71"/>
  <c r="D58" i="71"/>
  <c r="E58" i="71"/>
  <c r="D59" i="71"/>
  <c r="E59" i="71"/>
  <c r="D60" i="71"/>
  <c r="E60" i="71"/>
  <c r="D61" i="71"/>
  <c r="E61" i="71"/>
  <c r="D62" i="71"/>
  <c r="E62" i="71"/>
  <c r="D63" i="71"/>
  <c r="E63" i="71"/>
  <c r="D64" i="71"/>
  <c r="E64" i="71"/>
  <c r="D65" i="71"/>
  <c r="E65" i="71"/>
  <c r="D66" i="71"/>
  <c r="E66" i="71"/>
  <c r="D67" i="71"/>
  <c r="E67" i="71"/>
  <c r="D68" i="71"/>
  <c r="E68" i="71"/>
  <c r="D69" i="71"/>
  <c r="E69" i="71"/>
  <c r="D70" i="71"/>
  <c r="E70" i="71"/>
  <c r="D71" i="71"/>
  <c r="E71" i="71"/>
  <c r="D72" i="71"/>
  <c r="E72" i="71"/>
  <c r="D73" i="71"/>
  <c r="E73" i="71"/>
  <c r="D74" i="71"/>
  <c r="E74" i="71"/>
  <c r="D75" i="71"/>
  <c r="E75" i="71"/>
  <c r="D76" i="71"/>
  <c r="E76" i="71"/>
  <c r="D77" i="71"/>
  <c r="E77" i="71"/>
  <c r="D78" i="71"/>
  <c r="E78" i="71"/>
  <c r="D79" i="71"/>
  <c r="E79" i="71"/>
  <c r="D80" i="71"/>
  <c r="E80" i="71"/>
  <c r="D81" i="71"/>
  <c r="E81" i="71"/>
  <c r="D82" i="71"/>
  <c r="E82" i="71"/>
  <c r="D83" i="71"/>
  <c r="E83" i="71"/>
  <c r="D84" i="71"/>
  <c r="E84" i="71"/>
  <c r="D85" i="71"/>
  <c r="E85" i="71"/>
  <c r="D86" i="71"/>
  <c r="E86" i="71"/>
  <c r="D87" i="71"/>
  <c r="E87" i="71"/>
  <c r="D88" i="71"/>
  <c r="E88" i="71"/>
  <c r="D89" i="71"/>
  <c r="E89" i="71"/>
  <c r="D90" i="71"/>
  <c r="E90" i="71"/>
  <c r="D91" i="71"/>
  <c r="E91" i="71"/>
  <c r="D92" i="71"/>
  <c r="E92" i="71"/>
  <c r="D93" i="71"/>
  <c r="E93" i="71"/>
  <c r="D94" i="71"/>
  <c r="E94" i="71"/>
  <c r="D95" i="71"/>
  <c r="E95" i="71"/>
  <c r="D96" i="71"/>
  <c r="E96" i="71"/>
  <c r="D97" i="71"/>
  <c r="E97" i="71"/>
  <c r="D98" i="71"/>
  <c r="E98" i="71"/>
  <c r="D99" i="71"/>
  <c r="E99" i="71"/>
  <c r="D100" i="71"/>
  <c r="E100" i="71"/>
  <c r="D101" i="71"/>
  <c r="E101" i="71"/>
  <c r="D102" i="71"/>
  <c r="E102" i="71"/>
  <c r="D103" i="71"/>
  <c r="E103" i="71"/>
  <c r="D104" i="71"/>
  <c r="E104" i="71"/>
  <c r="D105" i="71"/>
  <c r="E105" i="71"/>
  <c r="D106" i="71"/>
  <c r="E106" i="71"/>
  <c r="D107" i="71"/>
  <c r="E107" i="71"/>
  <c r="D108" i="71"/>
  <c r="E108" i="71"/>
  <c r="D109" i="71"/>
  <c r="E109" i="71"/>
  <c r="D110" i="71"/>
  <c r="E110" i="71"/>
  <c r="D111" i="71"/>
  <c r="E111" i="71"/>
  <c r="D112" i="71"/>
  <c r="E112" i="71"/>
  <c r="D113" i="71"/>
  <c r="E113" i="71"/>
  <c r="D114" i="71"/>
  <c r="E114" i="71"/>
  <c r="D115" i="71"/>
  <c r="E115" i="71"/>
  <c r="D116" i="71"/>
  <c r="E116" i="71"/>
  <c r="D117" i="71"/>
  <c r="E117" i="71"/>
  <c r="D118" i="71"/>
  <c r="E118" i="71"/>
  <c r="D119" i="71"/>
  <c r="E119" i="71"/>
  <c r="D120" i="71"/>
  <c r="E120" i="71"/>
  <c r="D121" i="71"/>
  <c r="E121" i="71"/>
  <c r="D122" i="71"/>
  <c r="E122" i="71"/>
  <c r="D123" i="71"/>
  <c r="E123" i="71"/>
  <c r="D124" i="71"/>
  <c r="E124" i="71"/>
  <c r="D125" i="71"/>
  <c r="E125" i="71"/>
  <c r="D126" i="71"/>
  <c r="E126" i="71"/>
  <c r="D127" i="71"/>
  <c r="E127" i="71"/>
  <c r="D128" i="71"/>
  <c r="E128" i="71"/>
  <c r="D129" i="71"/>
  <c r="E129" i="71"/>
  <c r="D130" i="71"/>
  <c r="E130" i="71"/>
  <c r="D131" i="71"/>
  <c r="E131" i="71"/>
  <c r="D132" i="71"/>
  <c r="E132" i="71"/>
  <c r="D133" i="71"/>
  <c r="E133" i="71"/>
  <c r="D134" i="71"/>
  <c r="E134" i="71"/>
  <c r="D135" i="71"/>
  <c r="E135" i="71"/>
  <c r="D136" i="71"/>
  <c r="E136" i="71"/>
  <c r="D137" i="71"/>
  <c r="E137" i="71"/>
  <c r="D138" i="71"/>
  <c r="E138" i="71"/>
  <c r="D139" i="71"/>
  <c r="E139" i="71"/>
  <c r="D140" i="71"/>
  <c r="E140" i="71"/>
  <c r="D141" i="71"/>
  <c r="E141" i="71"/>
  <c r="D142" i="71"/>
  <c r="E142" i="71"/>
  <c r="D143" i="71"/>
  <c r="E143" i="71"/>
  <c r="E2" i="71"/>
  <c r="D2" i="71"/>
  <c r="D3" i="32"/>
  <c r="E3"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E2" i="32"/>
  <c r="D2" i="32"/>
  <c r="D188" i="77"/>
  <c r="E188" i="77"/>
  <c r="I17" i="81" l="1"/>
  <c r="J42" i="1"/>
  <c r="F7" i="79"/>
  <c r="F7" i="71"/>
  <c r="J79" i="84" l="1"/>
  <c r="J79" i="83"/>
  <c r="J79" i="82"/>
  <c r="J79" i="81"/>
  <c r="J79" i="80"/>
  <c r="I14" i="5"/>
  <c r="H14" i="5"/>
  <c r="G14" i="5"/>
  <c r="F14" i="5"/>
  <c r="E14" i="5"/>
  <c r="H46" i="84"/>
  <c r="H44" i="84"/>
  <c r="H42" i="84"/>
  <c r="H25" i="84"/>
  <c r="I25" i="84" s="1"/>
  <c r="H23" i="84"/>
  <c r="I23" i="84" s="1"/>
  <c r="H21" i="84"/>
  <c r="J21" i="84" s="1"/>
  <c r="H19" i="84"/>
  <c r="I19" i="84" s="1"/>
  <c r="H17" i="84"/>
  <c r="J17" i="84" s="1"/>
  <c r="H15" i="84"/>
  <c r="I15" i="84" s="1"/>
  <c r="J58" i="84"/>
  <c r="J56" i="84"/>
  <c r="J54" i="84"/>
  <c r="J35" i="84"/>
  <c r="H35" i="84"/>
  <c r="I35" i="84" s="1"/>
  <c r="I33" i="84"/>
  <c r="H33" i="84"/>
  <c r="J33" i="84" s="1"/>
  <c r="H31" i="84"/>
  <c r="J31" i="84" s="1"/>
  <c r="D25" i="84"/>
  <c r="D23" i="84"/>
  <c r="J9" i="84"/>
  <c r="E53" i="84" s="1"/>
  <c r="C7" i="84"/>
  <c r="J5" i="84"/>
  <c r="C5" i="84"/>
  <c r="E3" i="84"/>
  <c r="C73" i="84" s="1"/>
  <c r="H46" i="83"/>
  <c r="H44" i="83"/>
  <c r="H42" i="83"/>
  <c r="H40" i="83"/>
  <c r="H25" i="83"/>
  <c r="J25" i="83" s="1"/>
  <c r="H23" i="83"/>
  <c r="I23" i="83" s="1"/>
  <c r="H21" i="83"/>
  <c r="J21" i="83" s="1"/>
  <c r="H19" i="83"/>
  <c r="J19" i="83" s="1"/>
  <c r="H17" i="83"/>
  <c r="I17" i="83" s="1"/>
  <c r="J58" i="83"/>
  <c r="J56" i="83"/>
  <c r="H35" i="83"/>
  <c r="J35" i="83" s="1"/>
  <c r="I33" i="83"/>
  <c r="H33" i="83"/>
  <c r="J33" i="83" s="1"/>
  <c r="H31" i="83"/>
  <c r="J31" i="83" s="1"/>
  <c r="D25" i="83"/>
  <c r="D23" i="83"/>
  <c r="J9" i="83"/>
  <c r="E53" i="83" s="1"/>
  <c r="C7" i="83"/>
  <c r="J5" i="83"/>
  <c r="C5" i="83"/>
  <c r="E3" i="83"/>
  <c r="C76" i="83" s="1"/>
  <c r="H46" i="82"/>
  <c r="H44" i="82"/>
  <c r="H42" i="82"/>
  <c r="H40" i="82"/>
  <c r="H25" i="82"/>
  <c r="I25" i="82" s="1"/>
  <c r="H23" i="82"/>
  <c r="J23" i="82" s="1"/>
  <c r="H21" i="82"/>
  <c r="J21" i="82" s="1"/>
  <c r="H19" i="82"/>
  <c r="I19" i="82" s="1"/>
  <c r="H17" i="82"/>
  <c r="I17" i="82" s="1"/>
  <c r="J58" i="82"/>
  <c r="J56" i="82"/>
  <c r="J54" i="82"/>
  <c r="I35" i="82"/>
  <c r="H35" i="82"/>
  <c r="J35" i="82" s="1"/>
  <c r="I33" i="82"/>
  <c r="H33" i="82"/>
  <c r="J33" i="82" s="1"/>
  <c r="H31" i="82"/>
  <c r="J31" i="82" s="1"/>
  <c r="D25" i="82"/>
  <c r="D23" i="82"/>
  <c r="J9" i="82"/>
  <c r="E53" i="82" s="1"/>
  <c r="C7" i="82"/>
  <c r="J5" i="82"/>
  <c r="C5" i="82"/>
  <c r="E3" i="82"/>
  <c r="C76" i="82" s="1"/>
  <c r="H46" i="81"/>
  <c r="H44" i="81"/>
  <c r="H42" i="81"/>
  <c r="H40" i="81"/>
  <c r="H25" i="81"/>
  <c r="I25" i="81" s="1"/>
  <c r="H23" i="81"/>
  <c r="J23" i="81" s="1"/>
  <c r="H21" i="81"/>
  <c r="J21" i="81" s="1"/>
  <c r="H19" i="81"/>
  <c r="I19" i="81" s="1"/>
  <c r="J58" i="81"/>
  <c r="J56" i="81"/>
  <c r="J54" i="81"/>
  <c r="J35" i="81"/>
  <c r="H35" i="81"/>
  <c r="I35" i="81" s="1"/>
  <c r="H33" i="81"/>
  <c r="J33" i="81" s="1"/>
  <c r="H31" i="81"/>
  <c r="I31" i="81" s="1"/>
  <c r="D25" i="81"/>
  <c r="D23" i="81"/>
  <c r="J9" i="81"/>
  <c r="E53" i="81" s="1"/>
  <c r="C7" i="81"/>
  <c r="J5" i="81"/>
  <c r="C5" i="81"/>
  <c r="E3" i="81"/>
  <c r="A37" i="81" s="1"/>
  <c r="H46" i="80"/>
  <c r="H44" i="80"/>
  <c r="H42" i="80"/>
  <c r="J40" i="81" l="1"/>
  <c r="I40" i="81"/>
  <c r="J42" i="81"/>
  <c r="I42" i="81"/>
  <c r="J42" i="82"/>
  <c r="I42" i="82"/>
  <c r="J46" i="83"/>
  <c r="I46" i="83"/>
  <c r="J46" i="84"/>
  <c r="I46" i="84"/>
  <c r="J42" i="83"/>
  <c r="I42" i="83"/>
  <c r="J40" i="82"/>
  <c r="I40" i="82"/>
  <c r="J44" i="84"/>
  <c r="I44" i="84"/>
  <c r="J44" i="81"/>
  <c r="I44" i="81"/>
  <c r="J46" i="81"/>
  <c r="J46" i="82"/>
  <c r="I46" i="82"/>
  <c r="J40" i="83"/>
  <c r="I40" i="83"/>
  <c r="J44" i="83"/>
  <c r="I44" i="83"/>
  <c r="J44" i="82"/>
  <c r="I44" i="82"/>
  <c r="J42" i="80"/>
  <c r="I42" i="80"/>
  <c r="J44" i="80"/>
  <c r="I44" i="80"/>
  <c r="J46" i="80"/>
  <c r="I46" i="80"/>
  <c r="J42" i="84"/>
  <c r="I42" i="84"/>
  <c r="C76" i="84"/>
  <c r="H11" i="84"/>
  <c r="J31" i="81"/>
  <c r="J23" i="83"/>
  <c r="C76" i="81"/>
  <c r="A12" i="81"/>
  <c r="A37" i="83"/>
  <c r="A37" i="84"/>
  <c r="H11" i="83"/>
  <c r="H11" i="81"/>
  <c r="A12" i="83"/>
  <c r="E30" i="81"/>
  <c r="J60" i="84"/>
  <c r="I20" i="5" s="1"/>
  <c r="A37" i="82"/>
  <c r="E14" i="83"/>
  <c r="H11" i="82"/>
  <c r="C68" i="84"/>
  <c r="C68" i="82"/>
  <c r="C73" i="82"/>
  <c r="A12" i="82"/>
  <c r="E39" i="81"/>
  <c r="J25" i="84"/>
  <c r="I21" i="84"/>
  <c r="I17" i="84"/>
  <c r="J15" i="84"/>
  <c r="E30" i="84"/>
  <c r="E39" i="84"/>
  <c r="A12" i="84"/>
  <c r="H30" i="84"/>
  <c r="H39" i="84"/>
  <c r="J19" i="84"/>
  <c r="E14" i="84"/>
  <c r="H14" i="84"/>
  <c r="I31" i="84"/>
  <c r="C64" i="84"/>
  <c r="C67" i="84"/>
  <c r="J23" i="84"/>
  <c r="C69" i="84"/>
  <c r="A73" i="84"/>
  <c r="I25" i="83"/>
  <c r="I21" i="83"/>
  <c r="I19" i="83"/>
  <c r="J17" i="83"/>
  <c r="E30" i="83"/>
  <c r="E39" i="83"/>
  <c r="J54" i="83"/>
  <c r="J60" i="83" s="1"/>
  <c r="H20" i="5" s="1"/>
  <c r="H30" i="83"/>
  <c r="H39" i="83"/>
  <c r="J60" i="82"/>
  <c r="G20" i="5" s="1"/>
  <c r="H14" i="83"/>
  <c r="I31" i="83"/>
  <c r="C64" i="83"/>
  <c r="C67" i="83"/>
  <c r="C68" i="83"/>
  <c r="C69" i="83"/>
  <c r="A73" i="83"/>
  <c r="I35" i="83"/>
  <c r="C73" i="83"/>
  <c r="J19" i="82"/>
  <c r="J17" i="82"/>
  <c r="I23" i="82"/>
  <c r="E30" i="82"/>
  <c r="E39" i="82"/>
  <c r="H30" i="82"/>
  <c r="H39" i="82"/>
  <c r="J25" i="82"/>
  <c r="E14" i="82"/>
  <c r="I21" i="82"/>
  <c r="H14" i="82"/>
  <c r="I31" i="82"/>
  <c r="J60" i="81"/>
  <c r="F20" i="5" s="1"/>
  <c r="C64" i="82"/>
  <c r="C67" i="82"/>
  <c r="C69" i="82"/>
  <c r="A73" i="82"/>
  <c r="J25" i="81"/>
  <c r="J19" i="81"/>
  <c r="H30" i="81"/>
  <c r="H39" i="81"/>
  <c r="E14" i="81"/>
  <c r="I21" i="81"/>
  <c r="H14" i="81"/>
  <c r="C64" i="81"/>
  <c r="C67" i="81"/>
  <c r="I23" i="81"/>
  <c r="I33" i="81"/>
  <c r="C68" i="81"/>
  <c r="C69" i="81"/>
  <c r="A73" i="81"/>
  <c r="C73" i="81"/>
  <c r="H25" i="80" l="1"/>
  <c r="J25" i="80" s="1"/>
  <c r="H23" i="80"/>
  <c r="J23" i="80" s="1"/>
  <c r="H21" i="80"/>
  <c r="I21" i="80" s="1"/>
  <c r="H19" i="80"/>
  <c r="J19" i="80" s="1"/>
  <c r="H17" i="80"/>
  <c r="J17" i="80" s="1"/>
  <c r="H15" i="80"/>
  <c r="J15" i="80" s="1"/>
  <c r="J58" i="80"/>
  <c r="J56" i="80"/>
  <c r="H35" i="80"/>
  <c r="J35" i="80" s="1"/>
  <c r="H33" i="80"/>
  <c r="J33" i="80" s="1"/>
  <c r="H31" i="80"/>
  <c r="I31" i="80" s="1"/>
  <c r="D25" i="80"/>
  <c r="D23" i="80"/>
  <c r="J9" i="80"/>
  <c r="E53" i="80" s="1"/>
  <c r="C7" i="80"/>
  <c r="J5" i="80"/>
  <c r="C5" i="80"/>
  <c r="E3" i="80"/>
  <c r="A37" i="80" s="1"/>
  <c r="J58" i="1"/>
  <c r="J56" i="1"/>
  <c r="F104" i="32"/>
  <c r="J31" i="80" l="1"/>
  <c r="A73" i="80"/>
  <c r="F105" i="32"/>
  <c r="F106" i="32"/>
  <c r="F95" i="32"/>
  <c r="F100" i="75"/>
  <c r="F94" i="79"/>
  <c r="F96" i="71"/>
  <c r="F100" i="71"/>
  <c r="I15" i="80"/>
  <c r="F97" i="71"/>
  <c r="F94" i="73"/>
  <c r="F100" i="73"/>
  <c r="F106" i="73"/>
  <c r="F95" i="73"/>
  <c r="F107" i="73"/>
  <c r="F106" i="75"/>
  <c r="C73" i="80"/>
  <c r="H11" i="80"/>
  <c r="A12" i="80"/>
  <c r="I25" i="80"/>
  <c r="I19" i="80"/>
  <c r="E30" i="80"/>
  <c r="I35" i="80"/>
  <c r="H14" i="80"/>
  <c r="J21" i="80"/>
  <c r="E39" i="80"/>
  <c r="J54" i="80"/>
  <c r="J60" i="80" s="1"/>
  <c r="E20" i="5" s="1"/>
  <c r="H39" i="80"/>
  <c r="I17" i="80"/>
  <c r="I33" i="80"/>
  <c r="C67" i="80"/>
  <c r="I23" i="80"/>
  <c r="C68" i="80"/>
  <c r="C64" i="80"/>
  <c r="C69" i="80"/>
  <c r="H30" i="80"/>
  <c r="C76" i="80"/>
  <c r="E14" i="80"/>
  <c r="F100" i="79"/>
  <c r="F94" i="75"/>
  <c r="H15" i="82" s="1"/>
  <c r="F94" i="71"/>
  <c r="F107" i="71"/>
  <c r="F104" i="73"/>
  <c r="F107" i="75"/>
  <c r="F95" i="79"/>
  <c r="F105" i="73"/>
  <c r="F96" i="75"/>
  <c r="F97" i="75"/>
  <c r="F103" i="75"/>
  <c r="F104" i="75"/>
  <c r="F96" i="73"/>
  <c r="F93" i="75"/>
  <c r="F93" i="73"/>
  <c r="F95" i="75"/>
  <c r="F103" i="71"/>
  <c r="F93" i="71"/>
  <c r="F104" i="71"/>
  <c r="F105" i="71"/>
  <c r="F106" i="71"/>
  <c r="F95" i="71"/>
  <c r="F97" i="73"/>
  <c r="F103" i="73"/>
  <c r="F105" i="75"/>
  <c r="F105" i="79"/>
  <c r="F138" i="32"/>
  <c r="F137" i="32"/>
  <c r="F136" i="32"/>
  <c r="F107" i="32"/>
  <c r="F103" i="32"/>
  <c r="F104" i="79"/>
  <c r="F107" i="79"/>
  <c r="F103" i="79"/>
  <c r="F93" i="79"/>
  <c r="F97" i="79"/>
  <c r="F106" i="79"/>
  <c r="F96" i="79"/>
  <c r="F100" i="77"/>
  <c r="F104" i="77"/>
  <c r="F94" i="77"/>
  <c r="F105" i="77"/>
  <c r="F96" i="77"/>
  <c r="F97" i="77"/>
  <c r="F103" i="77"/>
  <c r="F93" i="77"/>
  <c r="F95" i="77"/>
  <c r="F106" i="77"/>
  <c r="F107" i="77"/>
  <c r="F93" i="32"/>
  <c r="F99" i="32"/>
  <c r="F94" i="32"/>
  <c r="F100" i="32"/>
  <c r="F96" i="32"/>
  <c r="F97" i="32"/>
  <c r="H25" i="1"/>
  <c r="J25" i="1" s="1"/>
  <c r="H23" i="1"/>
  <c r="J23" i="1" s="1"/>
  <c r="H19" i="1"/>
  <c r="J19" i="1" s="1"/>
  <c r="E144" i="75"/>
  <c r="E145" i="75"/>
  <c r="E146" i="75"/>
  <c r="E147" i="75"/>
  <c r="E148" i="75"/>
  <c r="E149" i="75"/>
  <c r="E150" i="75"/>
  <c r="E151" i="75"/>
  <c r="E152" i="75"/>
  <c r="E153" i="75"/>
  <c r="E154" i="75"/>
  <c r="E155" i="75"/>
  <c r="E156" i="75"/>
  <c r="E157" i="75"/>
  <c r="E158" i="75"/>
  <c r="E159" i="75"/>
  <c r="E160" i="75"/>
  <c r="E161" i="75"/>
  <c r="E162" i="75"/>
  <c r="E163" i="75"/>
  <c r="E164" i="75"/>
  <c r="E165" i="75"/>
  <c r="E166" i="75"/>
  <c r="E167" i="75"/>
  <c r="E168" i="75"/>
  <c r="E169" i="75"/>
  <c r="E170" i="75"/>
  <c r="E171" i="75"/>
  <c r="E172" i="75"/>
  <c r="E173" i="75"/>
  <c r="E174" i="75"/>
  <c r="E175" i="75"/>
  <c r="E176" i="75"/>
  <c r="E177" i="75"/>
  <c r="E178" i="75"/>
  <c r="E179" i="75"/>
  <c r="E180" i="75"/>
  <c r="E181" i="75"/>
  <c r="E182" i="75"/>
  <c r="E183" i="75"/>
  <c r="E184" i="75"/>
  <c r="E185" i="75"/>
  <c r="E186" i="75"/>
  <c r="E187" i="75"/>
  <c r="E188" i="75"/>
  <c r="H40" i="1" l="1"/>
  <c r="J40" i="1" s="1"/>
  <c r="J15" i="82"/>
  <c r="J47" i="82" s="1"/>
  <c r="G19" i="5" s="1"/>
  <c r="I15" i="82"/>
  <c r="E13" i="5"/>
  <c r="F13" i="5"/>
  <c r="G13" i="5"/>
  <c r="H13" i="5"/>
  <c r="I13" i="5"/>
  <c r="F114" i="79"/>
  <c r="E3" i="1"/>
  <c r="J54" i="1" s="1"/>
  <c r="I40" i="1" l="1"/>
  <c r="F129" i="79"/>
  <c r="F14" i="73"/>
  <c r="F47" i="77"/>
  <c r="F59" i="77"/>
  <c r="F65" i="77"/>
  <c r="F31" i="77"/>
  <c r="F37" i="77"/>
  <c r="F136" i="77"/>
  <c r="F137" i="77"/>
  <c r="F138" i="77"/>
  <c r="F142" i="79"/>
  <c r="F137" i="79"/>
  <c r="F138" i="79"/>
  <c r="F136" i="79"/>
  <c r="H40" i="84" s="1"/>
  <c r="F138" i="73"/>
  <c r="F137" i="73"/>
  <c r="F136" i="73"/>
  <c r="F142" i="73"/>
  <c r="F142" i="75"/>
  <c r="D155" i="75"/>
  <c r="D179" i="75"/>
  <c r="D168" i="75"/>
  <c r="D186" i="75"/>
  <c r="D162" i="75"/>
  <c r="D185" i="75"/>
  <c r="D156" i="75"/>
  <c r="D150" i="75"/>
  <c r="D149" i="75"/>
  <c r="D145" i="75"/>
  <c r="D151" i="75"/>
  <c r="D157" i="75"/>
  <c r="D163" i="75"/>
  <c r="D169" i="75"/>
  <c r="D175" i="75"/>
  <c r="D181" i="75"/>
  <c r="D187" i="75"/>
  <c r="D152" i="75"/>
  <c r="D158" i="75"/>
  <c r="D164" i="75"/>
  <c r="D170" i="75"/>
  <c r="D176" i="75"/>
  <c r="D182" i="75"/>
  <c r="D188" i="75"/>
  <c r="F136" i="75"/>
  <c r="D148" i="75"/>
  <c r="D160" i="75"/>
  <c r="D172" i="75"/>
  <c r="D178" i="75"/>
  <c r="F137" i="75"/>
  <c r="D173" i="75"/>
  <c r="D174" i="75"/>
  <c r="D146" i="75"/>
  <c r="D166" i="75"/>
  <c r="D184" i="75"/>
  <c r="D161" i="75"/>
  <c r="F138" i="75"/>
  <c r="D144" i="75"/>
  <c r="D180" i="75"/>
  <c r="D147" i="75"/>
  <c r="D153" i="75"/>
  <c r="D159" i="75"/>
  <c r="D165" i="75"/>
  <c r="D171" i="75"/>
  <c r="D177" i="75"/>
  <c r="D183" i="75"/>
  <c r="D154" i="75"/>
  <c r="D167" i="75"/>
  <c r="F136" i="71"/>
  <c r="H40" i="80" s="1"/>
  <c r="F138" i="71"/>
  <c r="F142" i="71"/>
  <c r="F20" i="77"/>
  <c r="F44" i="77"/>
  <c r="F6" i="75"/>
  <c r="F12" i="75"/>
  <c r="F120" i="71"/>
  <c r="F126" i="71"/>
  <c r="F132" i="71"/>
  <c r="F14" i="75"/>
  <c r="F56" i="75"/>
  <c r="F68" i="75"/>
  <c r="F128" i="75"/>
  <c r="F134" i="75"/>
  <c r="F4" i="75"/>
  <c r="F130" i="75"/>
  <c r="F116" i="73"/>
  <c r="F22" i="77"/>
  <c r="F28" i="77"/>
  <c r="F34" i="77"/>
  <c r="F71" i="77"/>
  <c r="F77" i="77"/>
  <c r="F13" i="75"/>
  <c r="C73" i="1"/>
  <c r="C68" i="1"/>
  <c r="C76" i="1"/>
  <c r="F6" i="71"/>
  <c r="F18" i="71"/>
  <c r="F28" i="73"/>
  <c r="F91" i="79"/>
  <c r="F45" i="75"/>
  <c r="F119" i="77"/>
  <c r="F125" i="77"/>
  <c r="F131" i="77"/>
  <c r="F38" i="73"/>
  <c r="F92" i="73"/>
  <c r="F5" i="77"/>
  <c r="F65" i="79"/>
  <c r="F10" i="73"/>
  <c r="F133" i="75"/>
  <c r="F12" i="79"/>
  <c r="F18" i="79"/>
  <c r="F24" i="79"/>
  <c r="F66" i="79"/>
  <c r="F72" i="79"/>
  <c r="F78" i="79"/>
  <c r="F16" i="71"/>
  <c r="F117" i="71"/>
  <c r="F123" i="71"/>
  <c r="F135" i="71"/>
  <c r="F22" i="75"/>
  <c r="F46" i="75"/>
  <c r="F76" i="75"/>
  <c r="F55" i="77"/>
  <c r="F125" i="79"/>
  <c r="F22" i="71"/>
  <c r="F46" i="71"/>
  <c r="F65" i="75"/>
  <c r="F77" i="75"/>
  <c r="F50" i="77"/>
  <c r="F62" i="77"/>
  <c r="F68" i="77"/>
  <c r="F74" i="77"/>
  <c r="F80" i="77"/>
  <c r="F92" i="77"/>
  <c r="F116" i="77"/>
  <c r="F122" i="77"/>
  <c r="F128" i="77"/>
  <c r="F134" i="77"/>
  <c r="F9" i="77"/>
  <c r="F15" i="77"/>
  <c r="F21" i="77"/>
  <c r="F80" i="79"/>
  <c r="F92" i="79"/>
  <c r="F59" i="71"/>
  <c r="F71" i="71"/>
  <c r="F51" i="73"/>
  <c r="F36" i="75"/>
  <c r="F42" i="75"/>
  <c r="F54" i="75"/>
  <c r="F72" i="75"/>
  <c r="F90" i="75"/>
  <c r="F57" i="77"/>
  <c r="F63" i="77"/>
  <c r="F69" i="77"/>
  <c r="F75" i="77"/>
  <c r="F81" i="77"/>
  <c r="F52" i="73"/>
  <c r="F55" i="75"/>
  <c r="F61" i="75"/>
  <c r="F125" i="75"/>
  <c r="F42" i="71"/>
  <c r="F2" i="75"/>
  <c r="F8" i="75"/>
  <c r="F41" i="77"/>
  <c r="F82" i="79"/>
  <c r="F88" i="79"/>
  <c r="F14" i="71"/>
  <c r="F20" i="71"/>
  <c r="F38" i="71"/>
  <c r="F44" i="71"/>
  <c r="F12" i="73"/>
  <c r="F119" i="73"/>
  <c r="F131" i="73"/>
  <c r="F9" i="75"/>
  <c r="F42" i="77"/>
  <c r="F89" i="79"/>
  <c r="F30" i="73"/>
  <c r="F57" i="75"/>
  <c r="F81" i="75"/>
  <c r="F2" i="79"/>
  <c r="F62" i="79"/>
  <c r="F67" i="79"/>
  <c r="F79" i="79"/>
  <c r="F120" i="79"/>
  <c r="F126" i="79"/>
  <c r="F132" i="79"/>
  <c r="F63" i="79"/>
  <c r="F121" i="79"/>
  <c r="F4" i="79"/>
  <c r="F64" i="79"/>
  <c r="F81" i="79"/>
  <c r="F116" i="79"/>
  <c r="F122" i="79"/>
  <c r="F5" i="79"/>
  <c r="F11" i="79"/>
  <c r="F17" i="79"/>
  <c r="F23" i="79"/>
  <c r="F29" i="79"/>
  <c r="F35" i="79"/>
  <c r="F41" i="79"/>
  <c r="F47" i="79"/>
  <c r="F53" i="79"/>
  <c r="F30" i="79"/>
  <c r="F71" i="79"/>
  <c r="F13" i="79"/>
  <c r="F19" i="79"/>
  <c r="F25" i="79"/>
  <c r="F31" i="79"/>
  <c r="F37" i="79"/>
  <c r="F43" i="79"/>
  <c r="F49" i="79"/>
  <c r="F55" i="79"/>
  <c r="F9" i="79"/>
  <c r="F15" i="79"/>
  <c r="F21" i="79"/>
  <c r="F27" i="79"/>
  <c r="F33" i="79"/>
  <c r="F39" i="79"/>
  <c r="F45" i="79"/>
  <c r="F51" i="79"/>
  <c r="F57" i="79"/>
  <c r="F69" i="79"/>
  <c r="F133" i="79"/>
  <c r="F128" i="79"/>
  <c r="F134" i="79"/>
  <c r="F77" i="79"/>
  <c r="F6" i="79"/>
  <c r="F61" i="79"/>
  <c r="F73" i="79"/>
  <c r="F59" i="79"/>
  <c r="F70" i="79"/>
  <c r="F75" i="79"/>
  <c r="F36" i="79"/>
  <c r="F42" i="79"/>
  <c r="F48" i="79"/>
  <c r="F54" i="79"/>
  <c r="F60" i="79"/>
  <c r="F76" i="79"/>
  <c r="F127" i="79"/>
  <c r="F3" i="79"/>
  <c r="F8" i="79"/>
  <c r="F14" i="79"/>
  <c r="F20" i="79"/>
  <c r="F26" i="79"/>
  <c r="F32" i="79"/>
  <c r="F38" i="79"/>
  <c r="F44" i="79"/>
  <c r="F50" i="79"/>
  <c r="F56" i="79"/>
  <c r="F117" i="79"/>
  <c r="F123" i="79"/>
  <c r="F135" i="79"/>
  <c r="F68" i="79"/>
  <c r="F124" i="79"/>
  <c r="F130" i="79"/>
  <c r="F90" i="79"/>
  <c r="F10" i="79"/>
  <c r="F16" i="79"/>
  <c r="F22" i="79"/>
  <c r="F28" i="79"/>
  <c r="F34" i="79"/>
  <c r="F40" i="79"/>
  <c r="F46" i="79"/>
  <c r="F52" i="79"/>
  <c r="F74" i="79"/>
  <c r="F85" i="79"/>
  <c r="F119" i="79"/>
  <c r="F131" i="79"/>
  <c r="F137" i="71"/>
  <c r="F38" i="77"/>
  <c r="F49" i="77"/>
  <c r="F10" i="77"/>
  <c r="F27" i="77"/>
  <c r="F17" i="77"/>
  <c r="F123" i="77"/>
  <c r="F129" i="77"/>
  <c r="F29" i="77"/>
  <c r="F51" i="77"/>
  <c r="F18" i="77"/>
  <c r="F30" i="77"/>
  <c r="F13" i="77"/>
  <c r="F19" i="77"/>
  <c r="F25" i="77"/>
  <c r="F12" i="77"/>
  <c r="F39" i="77"/>
  <c r="F61" i="77"/>
  <c r="F67" i="77"/>
  <c r="F73" i="77"/>
  <c r="F79" i="77"/>
  <c r="F85" i="77"/>
  <c r="F121" i="77"/>
  <c r="F127" i="77"/>
  <c r="F133" i="77"/>
  <c r="F23" i="77"/>
  <c r="F45" i="77"/>
  <c r="F35" i="77"/>
  <c r="F46" i="77"/>
  <c r="F14" i="77"/>
  <c r="F36" i="77"/>
  <c r="F52" i="77"/>
  <c r="F117" i="77"/>
  <c r="H15" i="83" s="1"/>
  <c r="F64" i="77"/>
  <c r="F70" i="77"/>
  <c r="F76" i="77"/>
  <c r="F82" i="77"/>
  <c r="F88" i="77"/>
  <c r="F124" i="77"/>
  <c r="F130" i="77"/>
  <c r="F3" i="77"/>
  <c r="F26" i="77"/>
  <c r="F53" i="77"/>
  <c r="F43" i="77"/>
  <c r="F54" i="77"/>
  <c r="F11" i="77"/>
  <c r="F33" i="77"/>
  <c r="F60" i="77"/>
  <c r="F66" i="77"/>
  <c r="F72" i="77"/>
  <c r="F78" i="77"/>
  <c r="F90" i="77"/>
  <c r="F120" i="77"/>
  <c r="F126" i="77"/>
  <c r="F132" i="77"/>
  <c r="F48" i="77"/>
  <c r="F4" i="77"/>
  <c r="F40" i="77"/>
  <c r="F135" i="77"/>
  <c r="F32" i="77"/>
  <c r="F6" i="77"/>
  <c r="F24" i="77"/>
  <c r="F89" i="77"/>
  <c r="F16" i="77"/>
  <c r="F2" i="77"/>
  <c r="F8" i="77"/>
  <c r="F56" i="77"/>
  <c r="F91" i="77"/>
  <c r="F18" i="75"/>
  <c r="F30" i="75"/>
  <c r="F31" i="75"/>
  <c r="F37" i="75"/>
  <c r="F119" i="75"/>
  <c r="F131" i="75"/>
  <c r="F32" i="75"/>
  <c r="F38" i="75"/>
  <c r="F79" i="75"/>
  <c r="F91" i="75"/>
  <c r="F120" i="75"/>
  <c r="F132" i="75"/>
  <c r="F27" i="75"/>
  <c r="F80" i="75"/>
  <c r="F92" i="75"/>
  <c r="F122" i="75"/>
  <c r="F17" i="75"/>
  <c r="F23" i="75"/>
  <c r="F29" i="75"/>
  <c r="F53" i="75"/>
  <c r="F64" i="75"/>
  <c r="F117" i="75"/>
  <c r="F49" i="75"/>
  <c r="F10" i="75"/>
  <c r="F21" i="75"/>
  <c r="F33" i="75"/>
  <c r="F50" i="75"/>
  <c r="F67" i="75"/>
  <c r="F73" i="75"/>
  <c r="F85" i="75"/>
  <c r="F34" i="75"/>
  <c r="F51" i="75"/>
  <c r="F74" i="75"/>
  <c r="F126" i="75"/>
  <c r="F63" i="75"/>
  <c r="F121" i="75"/>
  <c r="F41" i="75"/>
  <c r="F116" i="75"/>
  <c r="F88" i="75"/>
  <c r="F25" i="75"/>
  <c r="F123" i="75"/>
  <c r="F26" i="75"/>
  <c r="F60" i="75"/>
  <c r="F135" i="75"/>
  <c r="F66" i="75"/>
  <c r="F71" i="75"/>
  <c r="F82" i="75"/>
  <c r="F3" i="75"/>
  <c r="F127" i="75"/>
  <c r="F28" i="75"/>
  <c r="F47" i="75"/>
  <c r="F52" i="75"/>
  <c r="F62" i="75"/>
  <c r="F78" i="75"/>
  <c r="F89" i="75"/>
  <c r="F19" i="75"/>
  <c r="F24" i="75"/>
  <c r="F43" i="75"/>
  <c r="F48" i="75"/>
  <c r="F5" i="75"/>
  <c r="F15" i="75"/>
  <c r="F20" i="75"/>
  <c r="F39" i="75"/>
  <c r="F44" i="75"/>
  <c r="F69" i="75"/>
  <c r="F124" i="75"/>
  <c r="F129" i="75"/>
  <c r="F11" i="75"/>
  <c r="F16" i="75"/>
  <c r="F35" i="75"/>
  <c r="F40" i="75"/>
  <c r="F59" i="75"/>
  <c r="F70" i="75"/>
  <c r="F75" i="75"/>
  <c r="F6" i="73"/>
  <c r="F17" i="73"/>
  <c r="F29" i="73"/>
  <c r="F41" i="73"/>
  <c r="F47" i="73"/>
  <c r="F88" i="73"/>
  <c r="F54" i="73"/>
  <c r="F8" i="73"/>
  <c r="F3" i="73"/>
  <c r="F5" i="73"/>
  <c r="F16" i="73"/>
  <c r="F34" i="73"/>
  <c r="F40" i="73"/>
  <c r="F2" i="73"/>
  <c r="F25" i="73"/>
  <c r="F36" i="73"/>
  <c r="F53" i="73"/>
  <c r="F65" i="73"/>
  <c r="F77" i="73"/>
  <c r="F124" i="73"/>
  <c r="F130" i="73"/>
  <c r="F31" i="73"/>
  <c r="F42" i="73"/>
  <c r="F48" i="73"/>
  <c r="F20" i="73"/>
  <c r="F26" i="73"/>
  <c r="F32" i="73"/>
  <c r="F49" i="73"/>
  <c r="F27" i="73"/>
  <c r="F55" i="73"/>
  <c r="F61" i="73"/>
  <c r="F73" i="73"/>
  <c r="F85" i="73"/>
  <c r="F120" i="73"/>
  <c r="F126" i="73"/>
  <c r="F132" i="73"/>
  <c r="F11" i="73"/>
  <c r="F22" i="73"/>
  <c r="F44" i="73"/>
  <c r="F50" i="73"/>
  <c r="F56" i="73"/>
  <c r="F127" i="73"/>
  <c r="F23" i="73"/>
  <c r="F46" i="73"/>
  <c r="F63" i="73"/>
  <c r="F75" i="73"/>
  <c r="F18" i="73"/>
  <c r="F24" i="73"/>
  <c r="F35" i="73"/>
  <c r="F64" i="73"/>
  <c r="F70" i="73"/>
  <c r="F76" i="73"/>
  <c r="F82" i="73"/>
  <c r="F117" i="73"/>
  <c r="F123" i="73"/>
  <c r="F135" i="73"/>
  <c r="F67" i="73"/>
  <c r="F79" i="73"/>
  <c r="F90" i="73"/>
  <c r="F13" i="73"/>
  <c r="F37" i="73"/>
  <c r="F62" i="73"/>
  <c r="F68" i="73"/>
  <c r="F74" i="73"/>
  <c r="F80" i="73"/>
  <c r="F91" i="73"/>
  <c r="F125" i="73"/>
  <c r="F4" i="73"/>
  <c r="F9" i="73"/>
  <c r="F33" i="73"/>
  <c r="F57" i="73"/>
  <c r="F69" i="73"/>
  <c r="F81" i="73"/>
  <c r="F19" i="73"/>
  <c r="F43" i="73"/>
  <c r="F121" i="73"/>
  <c r="F133" i="73"/>
  <c r="F15" i="73"/>
  <c r="F39" i="73"/>
  <c r="F122" i="73"/>
  <c r="F128" i="73"/>
  <c r="F134" i="73"/>
  <c r="F59" i="73"/>
  <c r="F71" i="73"/>
  <c r="F21" i="73"/>
  <c r="F45" i="73"/>
  <c r="F60" i="73"/>
  <c r="F66" i="73"/>
  <c r="F72" i="73"/>
  <c r="F78" i="73"/>
  <c r="F89" i="73"/>
  <c r="F129" i="73"/>
  <c r="F5" i="71"/>
  <c r="F11" i="71"/>
  <c r="F12" i="71"/>
  <c r="F47" i="71"/>
  <c r="F24" i="71"/>
  <c r="F36" i="71"/>
  <c r="F48" i="71"/>
  <c r="F90" i="71"/>
  <c r="F8" i="71"/>
  <c r="F55" i="71"/>
  <c r="F91" i="71"/>
  <c r="F121" i="71"/>
  <c r="F133" i="71"/>
  <c r="F92" i="71"/>
  <c r="F27" i="71"/>
  <c r="F33" i="71"/>
  <c r="F51" i="71"/>
  <c r="F57" i="71"/>
  <c r="F69" i="71"/>
  <c r="F81" i="71"/>
  <c r="F3" i="71"/>
  <c r="F30" i="71"/>
  <c r="F89" i="71"/>
  <c r="F9" i="71"/>
  <c r="F31" i="71"/>
  <c r="F124" i="71"/>
  <c r="F130" i="71"/>
  <c r="F4" i="71"/>
  <c r="F10" i="71"/>
  <c r="F15" i="71"/>
  <c r="F26" i="71"/>
  <c r="F32" i="71"/>
  <c r="F54" i="71"/>
  <c r="F119" i="71"/>
  <c r="F131" i="71"/>
  <c r="F67" i="71"/>
  <c r="F79" i="71"/>
  <c r="F85" i="71"/>
  <c r="F50" i="71"/>
  <c r="F56" i="71"/>
  <c r="F28" i="71"/>
  <c r="F34" i="71"/>
  <c r="F39" i="71"/>
  <c r="F35" i="71"/>
  <c r="F40" i="71"/>
  <c r="F116" i="71"/>
  <c r="F122" i="71"/>
  <c r="F128" i="71"/>
  <c r="F134" i="71"/>
  <c r="F2" i="71"/>
  <c r="F52" i="71"/>
  <c r="F88" i="71"/>
  <c r="F21" i="71"/>
  <c r="F45" i="71"/>
  <c r="F60" i="71"/>
  <c r="F66" i="71"/>
  <c r="F72" i="71"/>
  <c r="F78" i="71"/>
  <c r="F129" i="71"/>
  <c r="F17" i="71"/>
  <c r="F41" i="71"/>
  <c r="F61" i="71"/>
  <c r="F73" i="71"/>
  <c r="F13" i="71"/>
  <c r="F37" i="71"/>
  <c r="F62" i="71"/>
  <c r="F68" i="71"/>
  <c r="F74" i="71"/>
  <c r="F80" i="71"/>
  <c r="F125" i="71"/>
  <c r="F23" i="71"/>
  <c r="F19" i="71"/>
  <c r="F43" i="71"/>
  <c r="F63" i="71"/>
  <c r="F75" i="71"/>
  <c r="F127" i="71"/>
  <c r="F29" i="71"/>
  <c r="F53" i="71"/>
  <c r="F64" i="71"/>
  <c r="F70" i="71"/>
  <c r="F76" i="71"/>
  <c r="F82" i="71"/>
  <c r="F25" i="71"/>
  <c r="F49" i="71"/>
  <c r="F65" i="71"/>
  <c r="F77" i="71"/>
  <c r="H15" i="81" l="1"/>
  <c r="J15" i="81" s="1"/>
  <c r="J47" i="81" s="1"/>
  <c r="F19" i="5" s="1"/>
  <c r="J40" i="80"/>
  <c r="J47" i="80" s="1"/>
  <c r="E19" i="5" s="1"/>
  <c r="I40" i="80"/>
  <c r="J40" i="84"/>
  <c r="J47" i="84" s="1"/>
  <c r="I19" i="5" s="1"/>
  <c r="I40" i="84"/>
  <c r="J15" i="83"/>
  <c r="J47" i="83" s="1"/>
  <c r="H19" i="5" s="1"/>
  <c r="I15" i="83"/>
  <c r="A37" i="1"/>
  <c r="C7" i="5"/>
  <c r="C5" i="5"/>
  <c r="I7" i="5"/>
  <c r="F3" i="5"/>
  <c r="A12" i="1"/>
  <c r="I15" i="81" l="1"/>
  <c r="H31" i="1"/>
  <c r="J31" i="1" s="1"/>
  <c r="E22" i="5" l="1"/>
  <c r="F77" i="32" l="1"/>
  <c r="F34" i="32"/>
  <c r="F75" i="32"/>
  <c r="F76" i="32"/>
  <c r="F74" i="32"/>
  <c r="F62" i="32"/>
  <c r="F64" i="32"/>
  <c r="F69" i="32"/>
  <c r="F70" i="32"/>
  <c r="F72" i="32"/>
  <c r="F57" i="32"/>
  <c r="F71" i="32"/>
  <c r="F73" i="32"/>
  <c r="F65" i="32"/>
  <c r="F66" i="32"/>
  <c r="F61" i="32"/>
  <c r="F67" i="32"/>
  <c r="F68" i="32"/>
  <c r="F59" i="32"/>
  <c r="F60" i="32"/>
  <c r="F55" i="32"/>
  <c r="F63" i="32"/>
  <c r="F56" i="32"/>
  <c r="F134" i="32" l="1"/>
  <c r="F131" i="32"/>
  <c r="F135" i="32"/>
  <c r="F133" i="32"/>
  <c r="F130" i="32"/>
  <c r="F132" i="32"/>
  <c r="F129" i="32"/>
  <c r="J79" i="1"/>
  <c r="D25" i="1" l="1"/>
  <c r="D23" i="1"/>
  <c r="D13" i="5" l="1"/>
  <c r="J9" i="1"/>
  <c r="H39" i="1" s="1"/>
  <c r="C7" i="1"/>
  <c r="F142" i="32" l="1"/>
  <c r="E39" i="1"/>
  <c r="H14" i="1"/>
  <c r="E14" i="1"/>
  <c r="E30" i="1"/>
  <c r="H46" i="1" l="1"/>
  <c r="H44" i="1"/>
  <c r="D14" i="5"/>
  <c r="J44" i="1" l="1"/>
  <c r="I44" i="1"/>
  <c r="J46" i="1"/>
  <c r="I46" i="1"/>
  <c r="F84" i="32"/>
  <c r="F85" i="32"/>
  <c r="F7" i="32" l="1"/>
  <c r="H21" i="1" s="1"/>
  <c r="J21" i="1" s="1"/>
  <c r="F33" i="32"/>
  <c r="F18" i="32" l="1"/>
  <c r="F46" i="32"/>
  <c r="F41" i="32"/>
  <c r="F25" i="32"/>
  <c r="F8" i="32"/>
  <c r="F116" i="32" l="1"/>
  <c r="F128" i="32" l="1"/>
  <c r="F127" i="32"/>
  <c r="F126" i="32"/>
  <c r="F125" i="32"/>
  <c r="F124" i="32"/>
  <c r="F123" i="32"/>
  <c r="F122" i="32"/>
  <c r="F121" i="32"/>
  <c r="F120" i="32"/>
  <c r="F119" i="32"/>
  <c r="C64" i="1"/>
  <c r="F117" i="32"/>
  <c r="F92" i="32"/>
  <c r="F91" i="32"/>
  <c r="F90" i="32"/>
  <c r="F89" i="32"/>
  <c r="F88" i="32"/>
  <c r="F82" i="32"/>
  <c r="F81" i="32"/>
  <c r="F80" i="32"/>
  <c r="F79" i="32"/>
  <c r="F78" i="32"/>
  <c r="F50" i="32"/>
  <c r="F49" i="32"/>
  <c r="F48" i="32"/>
  <c r="F47" i="32"/>
  <c r="F45" i="32"/>
  <c r="F44" i="32"/>
  <c r="F43" i="32"/>
  <c r="F42" i="32"/>
  <c r="F12" i="32"/>
  <c r="F11" i="32"/>
  <c r="H17" i="1" s="1"/>
  <c r="J17" i="1" s="1"/>
  <c r="F10" i="32"/>
  <c r="F9" i="32"/>
  <c r="F17" i="32"/>
  <c r="F16" i="32"/>
  <c r="F15" i="32"/>
  <c r="F14" i="32"/>
  <c r="F13" i="32"/>
  <c r="F19" i="32"/>
  <c r="F20" i="32"/>
  <c r="F21" i="32"/>
  <c r="F22" i="32"/>
  <c r="F23" i="32"/>
  <c r="F24" i="32"/>
  <c r="F26" i="32"/>
  <c r="F27" i="32"/>
  <c r="F28" i="32"/>
  <c r="F29" i="32"/>
  <c r="F30" i="32"/>
  <c r="F31" i="32"/>
  <c r="F32" i="32"/>
  <c r="F54" i="32"/>
  <c r="F51" i="32"/>
  <c r="F52" i="32"/>
  <c r="F53" i="32"/>
  <c r="F40" i="32"/>
  <c r="F39" i="32"/>
  <c r="F38" i="32"/>
  <c r="F6" i="32"/>
  <c r="F4" i="32"/>
  <c r="F3" i="32"/>
  <c r="F2" i="32"/>
  <c r="H15" i="1" l="1"/>
  <c r="J15" i="1" s="1"/>
  <c r="J47" i="1" s="1"/>
  <c r="I23" i="1"/>
  <c r="I25" i="1"/>
  <c r="I17" i="1"/>
  <c r="I21" i="1" l="1"/>
  <c r="I31" i="1"/>
  <c r="I15" i="1"/>
  <c r="F37" i="32"/>
  <c r="F36" i="32"/>
  <c r="F35" i="32"/>
  <c r="C67" i="1" l="1"/>
  <c r="H35" i="1" l="1"/>
  <c r="J35" i="1" s="1"/>
  <c r="H33" i="1"/>
  <c r="J33" i="1" s="1"/>
  <c r="I33" i="1" l="1"/>
  <c r="I35" i="1"/>
  <c r="C69" i="1" l="1"/>
  <c r="H11" i="1" l="1"/>
  <c r="J41" i="5" l="1"/>
  <c r="I17" i="5" l="1"/>
  <c r="H17" i="5"/>
  <c r="G17" i="5"/>
  <c r="F17" i="5"/>
  <c r="A73" i="1"/>
  <c r="I22" i="5" l="1"/>
  <c r="I24" i="5" s="1"/>
  <c r="H22" i="5"/>
  <c r="H24" i="5" s="1"/>
  <c r="G22" i="5"/>
  <c r="F22" i="5"/>
  <c r="J21" i="5"/>
  <c r="J16" i="5"/>
  <c r="J15" i="5"/>
  <c r="E17" i="5"/>
  <c r="D17" i="5"/>
  <c r="G7" i="5"/>
  <c r="F7" i="5"/>
  <c r="E7" i="5"/>
  <c r="D7" i="5"/>
  <c r="I5" i="5"/>
  <c r="G24" i="5" l="1"/>
  <c r="F24" i="5"/>
  <c r="J17" i="5"/>
  <c r="E24" i="5" l="1"/>
  <c r="J60" i="1" l="1"/>
  <c r="H30" i="1" l="1"/>
  <c r="E53" i="1" l="1"/>
  <c r="D20" i="5" l="1"/>
  <c r="J20" i="5" s="1"/>
  <c r="J5" i="1" l="1"/>
  <c r="F5" i="32" l="1"/>
  <c r="I19" i="1" l="1"/>
  <c r="D19" i="5" l="1"/>
  <c r="J19" i="5" s="1"/>
  <c r="J22" i="5" s="1"/>
  <c r="J24" i="5" s="1"/>
  <c r="D22" i="5" l="1"/>
  <c r="D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00000000-0006-0000-0100-000001000000}">
      <text>
        <r>
          <rPr>
            <sz val="9"/>
            <color indexed="81"/>
            <rFont val="Tahoma"/>
            <family val="2"/>
          </rPr>
          <t>If using the same pay item more than once, go into the inputSchA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00000000-0006-0000-0100-000002000000}">
      <text>
        <r>
          <rPr>
            <sz val="9"/>
            <color indexed="81"/>
            <rFont val="Tahoma"/>
            <family val="2"/>
          </rPr>
          <t xml:space="preserve">If your Q_Ton unit price is not appearing, check the line item in the "inputSchA" tab to review further instructions.  </t>
        </r>
      </text>
    </comment>
    <comment ref="J14" authorId="2" shapeId="0" xr:uid="{3140482E-B7CA-4B12-93C6-1431213E4BED}">
      <text>
        <r>
          <rPr>
            <b/>
            <sz val="9"/>
            <color indexed="81"/>
            <rFont val="Tahoma"/>
            <family val="2"/>
          </rPr>
          <t>Use "Incentive Amt" as LPSM in MasterWorks.</t>
        </r>
        <r>
          <rPr>
            <sz val="9"/>
            <color indexed="81"/>
            <rFont val="Tahoma"/>
            <family val="2"/>
          </rPr>
          <t xml:space="preserve">
</t>
        </r>
      </text>
    </comment>
    <comment ref="J30" authorId="2" shapeId="0" xr:uid="{54C6E206-CDFA-45D7-91DB-EDFED345A624}">
      <text>
        <r>
          <rPr>
            <b/>
            <sz val="9"/>
            <color indexed="81"/>
            <rFont val="Tahoma"/>
            <family val="2"/>
          </rPr>
          <t>Use "Incentive Amt" as LPSM in MasterWorks.</t>
        </r>
      </text>
    </comment>
    <comment ref="J39" authorId="2" shapeId="0" xr:uid="{F64996DB-FF4B-4822-828F-E1AD60746D43}">
      <text>
        <r>
          <rPr>
            <b/>
            <sz val="9"/>
            <color indexed="81"/>
            <rFont val="Tahoma"/>
            <family val="2"/>
          </rPr>
          <t>Use "Incentive Amt" as LPSM in MasterWorks.</t>
        </r>
      </text>
    </comment>
    <comment ref="J53" authorId="2" shapeId="0" xr:uid="{557E0984-C411-410F-A2DF-040C43CBA6E1}">
      <text>
        <r>
          <rPr>
            <b/>
            <sz val="9"/>
            <color indexed="81"/>
            <rFont val="Tahoma"/>
            <family val="2"/>
          </rPr>
          <t>Use "Incentive Amt" as LPSM in MasterWorks.</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7" authorId="0" shapeId="0" xr:uid="{579C10AF-B695-4D1F-B229-8B52FF21E71E}">
      <text>
        <r>
          <rPr>
            <b/>
            <sz val="9"/>
            <color indexed="81"/>
            <rFont val="Tahoma"/>
            <family val="2"/>
          </rPr>
          <t>Kirtley, Yanina (FHWA):</t>
        </r>
        <r>
          <rPr>
            <sz val="9"/>
            <color indexed="81"/>
            <rFont val="Tahoma"/>
            <family val="2"/>
          </rPr>
          <t xml:space="preserve">
copy the formula from any other sqyd item below if it matches your depth, or contact PDMA</t>
        </r>
      </text>
    </comment>
    <comment ref="F83" authorId="0" shapeId="0" xr:uid="{7E1DA48D-167F-4F10-A856-09727E72B9F9}">
      <text>
        <r>
          <rPr>
            <sz val="9"/>
            <color indexed="81"/>
            <rFont val="Tahoma"/>
            <family val="2"/>
          </rPr>
          <t>copy the formula from any other sqyd item below if it matches your depth, or contact PDMA</t>
        </r>
      </text>
    </comment>
    <comment ref="F84" authorId="0" shapeId="0" xr:uid="{BDA92F42-0745-4DF7-8542-4CBF55287B17}">
      <text>
        <r>
          <rPr>
            <sz val="9"/>
            <color indexed="81"/>
            <rFont val="Tahoma"/>
            <family val="2"/>
          </rPr>
          <t>same as above</t>
        </r>
      </text>
    </comment>
    <comment ref="F86" authorId="0" shapeId="0" xr:uid="{70F732E2-9F9D-49F1-99F4-E17A5FD75897}">
      <text>
        <r>
          <rPr>
            <sz val="9"/>
            <color indexed="81"/>
            <rFont val="Tahoma"/>
            <family val="2"/>
          </rPr>
          <t>same as above</t>
        </r>
      </text>
    </comment>
    <comment ref="F87" authorId="0" shapeId="0" xr:uid="{41BBE2B0-1288-4CD6-8226-1F82AFAE5FE7}">
      <text>
        <r>
          <rPr>
            <sz val="9"/>
            <color indexed="81"/>
            <rFont val="Tahoma"/>
            <family val="2"/>
          </rPr>
          <t xml:space="preserve">same as above
</t>
        </r>
      </text>
    </comment>
    <comment ref="F98" authorId="0" shapeId="0" xr:uid="{63E9B752-D0AD-4DEC-B8D4-91D0A00943EB}">
      <text>
        <r>
          <rPr>
            <sz val="9"/>
            <color indexed="81"/>
            <rFont val="Tahoma"/>
            <family val="2"/>
          </rPr>
          <t>copy the formula from any other sqyd item below if it matches your depth, or contact PDMA</t>
        </r>
      </text>
    </comment>
    <comment ref="F99" authorId="0" shapeId="0" xr:uid="{8D74AE26-CC29-42C7-8B01-F8B891D7365D}">
      <text>
        <r>
          <rPr>
            <sz val="9"/>
            <color indexed="81"/>
            <rFont val="Tahoma"/>
            <family val="2"/>
          </rPr>
          <t>same as above</t>
        </r>
      </text>
    </comment>
    <comment ref="F101" authorId="0" shapeId="0" xr:uid="{866D3474-6189-4CF7-8796-B77A6EAEBB11}">
      <text>
        <r>
          <rPr>
            <sz val="9"/>
            <color indexed="81"/>
            <rFont val="Tahoma"/>
            <family val="2"/>
          </rPr>
          <t>same as above</t>
        </r>
      </text>
    </comment>
    <comment ref="F102" authorId="0" shapeId="0" xr:uid="{C5B19B4A-62CA-4B4C-8801-05A592287252}">
      <text>
        <r>
          <rPr>
            <sz val="9"/>
            <color indexed="81"/>
            <rFont val="Tahoma"/>
            <family val="2"/>
          </rPr>
          <t xml:space="preserve">same as above
</t>
        </r>
      </text>
    </comment>
    <comment ref="F108" authorId="0" shapeId="0" xr:uid="{3F9F335B-23AF-40D2-953D-AD4E884D299D}">
      <text>
        <r>
          <rPr>
            <sz val="9"/>
            <color indexed="81"/>
            <rFont val="Tahoma"/>
            <family val="2"/>
          </rPr>
          <t xml:space="preserve">Contact PDMA for formula- it will depend on your width and depth - same comment for the next 3 lines
</t>
        </r>
      </text>
    </comment>
    <comment ref="F112" authorId="0" shapeId="0" xr:uid="{8456910F-E7A2-40FE-A815-F880CD3FA2BA}">
      <text>
        <r>
          <rPr>
            <sz val="9"/>
            <color indexed="81"/>
            <rFont val="Tahoma"/>
            <family val="2"/>
          </rPr>
          <t xml:space="preserve">copy the formula from any other sqyd item below if it matches your depth, or contact PDMA, same comment for the next 3 lines
</t>
        </r>
      </text>
    </comment>
    <comment ref="F139" authorId="1" shapeId="0" xr:uid="{E8E9D088-575D-4CC3-89B6-A6AD5C87C533}">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42661639-5316-48DF-9979-2358A2635636}">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A62E6B3C-EE4D-4E86-B99A-C1D87C10D702}">
      <text>
        <r>
          <rPr>
            <b/>
            <sz val="9"/>
            <color indexed="81"/>
            <rFont val="Tahoma"/>
            <charset val="1"/>
          </rPr>
          <t>Ouhssayne, Lahoucine. (FHWA):</t>
        </r>
        <r>
          <rPr>
            <sz val="9"/>
            <color indexed="81"/>
            <rFont val="Tahoma"/>
            <charset val="1"/>
          </rPr>
          <t xml:space="preserve">
Type 2 typically uses 4.75 JMF. Materials Engineers' calculations indicated the use of $0.054/SQYD.</t>
        </r>
      </text>
    </comment>
    <comment ref="F143" authorId="1" shapeId="0" xr:uid="{E7622994-EEF2-479F-A1D6-7A77871EF41B}">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08FEF871-FA84-4EE7-A86F-0730BD4386AC}">
      <text>
        <r>
          <rPr>
            <sz val="9"/>
            <color indexed="81"/>
            <rFont val="Tahoma"/>
            <family val="2"/>
          </rPr>
          <t>If using the same pay item more than once, go into the inputSchF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45707842-FABB-4571-B39F-DB420EC1DF9A}">
      <text>
        <r>
          <rPr>
            <sz val="9"/>
            <color indexed="81"/>
            <rFont val="Tahoma"/>
            <family val="2"/>
          </rPr>
          <t xml:space="preserve">If your Q_Ton unit price is not appearing, check the line item in the "inputSchF" tab to review further instructions.  </t>
        </r>
      </text>
    </comment>
    <comment ref="J14" authorId="2" shapeId="0" xr:uid="{D8DA4AEA-9373-48C4-8381-CA15C9EF5844}">
      <text>
        <r>
          <rPr>
            <b/>
            <sz val="9"/>
            <color indexed="81"/>
            <rFont val="Tahoma"/>
            <family val="2"/>
          </rPr>
          <t>Use "Incentive Amt" as LPSM in MasterWorks.</t>
        </r>
        <r>
          <rPr>
            <sz val="9"/>
            <color indexed="81"/>
            <rFont val="Tahoma"/>
            <family val="2"/>
          </rPr>
          <t xml:space="preserve">
</t>
        </r>
      </text>
    </comment>
    <comment ref="J30" authorId="2" shapeId="0" xr:uid="{A5172FF3-518F-402D-B534-AA7EB574B9F8}">
      <text>
        <r>
          <rPr>
            <b/>
            <sz val="9"/>
            <color indexed="81"/>
            <rFont val="Tahoma"/>
            <family val="2"/>
          </rPr>
          <t>Use "Incentive Amt" as LPSM in MasterWorks.</t>
        </r>
      </text>
    </comment>
    <comment ref="J39" authorId="2" shapeId="0" xr:uid="{8F05FAD9-203D-4CB7-806B-2C13F0941059}">
      <text>
        <r>
          <rPr>
            <b/>
            <sz val="9"/>
            <color indexed="81"/>
            <rFont val="Tahoma"/>
            <family val="2"/>
          </rPr>
          <t>Use "Incentive Amt" as LPSM in MasterWorks.</t>
        </r>
      </text>
    </comment>
    <comment ref="J53" authorId="2" shapeId="0" xr:uid="{235083B7-DD30-4658-924E-BD79AEAB7355}">
      <text>
        <r>
          <rPr>
            <b/>
            <sz val="9"/>
            <color indexed="81"/>
            <rFont val="Tahoma"/>
            <family val="2"/>
          </rPr>
          <t>Use "Incentive Amt" as LPSM in MasterWorks.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83" authorId="0" shapeId="0" xr:uid="{0E283A49-F0E9-46B0-8A42-3583A8460B60}">
      <text>
        <r>
          <rPr>
            <sz val="9"/>
            <color indexed="81"/>
            <rFont val="Tahoma"/>
            <family val="2"/>
          </rPr>
          <t>copy the formula from any other sqyd item below if it matches your depth, or contact PDMA</t>
        </r>
      </text>
    </comment>
    <comment ref="F84" authorId="0" shapeId="0" xr:uid="{2B61DD99-5DDC-42FF-9074-B371FC6F4504}">
      <text>
        <r>
          <rPr>
            <sz val="9"/>
            <color indexed="81"/>
            <rFont val="Tahoma"/>
            <family val="2"/>
          </rPr>
          <t>same as above</t>
        </r>
      </text>
    </comment>
    <comment ref="F86" authorId="0" shapeId="0" xr:uid="{8FDA0F36-1598-4A24-A035-99BADAE0114F}">
      <text>
        <r>
          <rPr>
            <sz val="9"/>
            <color indexed="81"/>
            <rFont val="Tahoma"/>
            <family val="2"/>
          </rPr>
          <t>same as above</t>
        </r>
      </text>
    </comment>
    <comment ref="F87" authorId="0" shapeId="0" xr:uid="{6447B481-8FBA-43A4-B0E0-ECF462675CC7}">
      <text>
        <r>
          <rPr>
            <sz val="9"/>
            <color indexed="81"/>
            <rFont val="Tahoma"/>
            <family val="2"/>
          </rPr>
          <t xml:space="preserve">same as above
</t>
        </r>
      </text>
    </comment>
    <comment ref="F98" authorId="0" shapeId="0" xr:uid="{8323F6B5-994C-43A4-B777-50C815EB06E1}">
      <text>
        <r>
          <rPr>
            <sz val="9"/>
            <color indexed="81"/>
            <rFont val="Tahoma"/>
            <family val="2"/>
          </rPr>
          <t>copy the formula from any other sqyd item below if it matches your depth, or contact PDMA</t>
        </r>
      </text>
    </comment>
    <comment ref="F99" authorId="0" shapeId="0" xr:uid="{C1396909-D92E-4630-8AE7-CCFDBAF41CF8}">
      <text>
        <r>
          <rPr>
            <sz val="9"/>
            <color indexed="81"/>
            <rFont val="Tahoma"/>
            <family val="2"/>
          </rPr>
          <t>same as above</t>
        </r>
      </text>
    </comment>
    <comment ref="F101" authorId="0" shapeId="0" xr:uid="{575F5423-CCA6-4CE9-8C82-2AA038605149}">
      <text>
        <r>
          <rPr>
            <sz val="9"/>
            <color indexed="81"/>
            <rFont val="Tahoma"/>
            <family val="2"/>
          </rPr>
          <t>same as above</t>
        </r>
      </text>
    </comment>
    <comment ref="F102" authorId="0" shapeId="0" xr:uid="{869FD1B1-6CE1-465F-A112-C456E41E23EA}">
      <text>
        <r>
          <rPr>
            <sz val="9"/>
            <color indexed="81"/>
            <rFont val="Tahoma"/>
            <family val="2"/>
          </rPr>
          <t xml:space="preserve">same as above
</t>
        </r>
      </text>
    </comment>
    <comment ref="F108" authorId="0" shapeId="0" xr:uid="{B1A7B40C-81A8-4D15-9724-3A1BD9903FC2}">
      <text>
        <r>
          <rPr>
            <sz val="9"/>
            <color indexed="81"/>
            <rFont val="Tahoma"/>
            <family val="2"/>
          </rPr>
          <t xml:space="preserve">Contact PDMA for formula- it will depend on your width and depth - same comment for the next 3 lines
</t>
        </r>
      </text>
    </comment>
    <comment ref="F112" authorId="0" shapeId="0" xr:uid="{9DF01D86-B673-4480-8C45-F28E9CF2E32E}">
      <text>
        <r>
          <rPr>
            <sz val="9"/>
            <color indexed="81"/>
            <rFont val="Tahoma"/>
            <family val="2"/>
          </rPr>
          <t xml:space="preserve">copy the formula from any other sqyd item below if it matches your depth, or contact PDMA, same comment for the next 3 lines
</t>
        </r>
      </text>
    </comment>
    <comment ref="F139" authorId="1" shapeId="0" xr:uid="{3E8506C3-1D5E-460C-8997-3E515ECA7D57}">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1CFCCABA-1CDE-4B20-B4AE-D59D5D729CD8}">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B2C4AA91-558B-44BE-8DFE-936BA8C11FB8}">
      <text>
        <r>
          <rPr>
            <b/>
            <sz val="9"/>
            <color indexed="81"/>
            <rFont val="Tahoma"/>
            <charset val="1"/>
          </rPr>
          <t>Ouhssayne, Lahoucine. (FHWA):</t>
        </r>
        <r>
          <rPr>
            <sz val="9"/>
            <color indexed="81"/>
            <rFont val="Tahoma"/>
            <charset val="1"/>
          </rPr>
          <t xml:space="preserve">
Type 2 typically uses 4.75 JMF. Materials Engineers' calculations indicated the use of $0.05/SQYD.</t>
        </r>
      </text>
    </comment>
    <comment ref="F143" authorId="1" shapeId="0" xr:uid="{C8854B26-7A23-4AC2-A02E-EFCC3E9959F3}">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83" authorId="0" shapeId="0" xr:uid="{00000000-0006-0000-0200-000002000000}">
      <text>
        <r>
          <rPr>
            <sz val="9"/>
            <color indexed="81"/>
            <rFont val="Tahoma"/>
            <family val="2"/>
          </rPr>
          <t>copy the formula from any other sqyd item below if it matches your depth, or contact PDMA</t>
        </r>
      </text>
    </comment>
    <comment ref="F86" authorId="0" shapeId="0" xr:uid="{00000000-0006-0000-0200-000005000000}">
      <text>
        <r>
          <rPr>
            <sz val="9"/>
            <color indexed="81"/>
            <rFont val="Tahoma"/>
            <family val="2"/>
          </rPr>
          <t>same as above</t>
        </r>
      </text>
    </comment>
    <comment ref="F87" authorId="0" shapeId="0" xr:uid="{00000000-0006-0000-0200-000006000000}">
      <text>
        <r>
          <rPr>
            <sz val="9"/>
            <color indexed="81"/>
            <rFont val="Tahoma"/>
            <family val="2"/>
          </rPr>
          <t xml:space="preserve">same as above
</t>
        </r>
      </text>
    </comment>
    <comment ref="F98" authorId="0" shapeId="0" xr:uid="{10053D03-CC1D-49E7-8B6A-04E2CA816B41}">
      <text>
        <r>
          <rPr>
            <sz val="9"/>
            <color indexed="81"/>
            <rFont val="Tahoma"/>
            <family val="2"/>
          </rPr>
          <t>copy the formula from any other sqyd item below if it matches your depth, or contact PDMA</t>
        </r>
      </text>
    </comment>
    <comment ref="F101" authorId="0" shapeId="0" xr:uid="{19E4F003-4227-4682-81F2-EBC395EDB655}">
      <text>
        <r>
          <rPr>
            <sz val="9"/>
            <color indexed="81"/>
            <rFont val="Tahoma"/>
            <family val="2"/>
          </rPr>
          <t>same as above</t>
        </r>
      </text>
    </comment>
    <comment ref="F102" authorId="0" shapeId="0" xr:uid="{E2A6598F-09C5-410D-A318-302CC731EFCB}">
      <text>
        <r>
          <rPr>
            <sz val="9"/>
            <color indexed="81"/>
            <rFont val="Tahoma"/>
            <family val="2"/>
          </rPr>
          <t xml:space="preserve">same as above
</t>
        </r>
      </text>
    </comment>
    <comment ref="F108" authorId="0" shapeId="0" xr:uid="{00000000-0006-0000-0200-000007000000}">
      <text>
        <r>
          <rPr>
            <sz val="9"/>
            <color indexed="81"/>
            <rFont val="Tahoma"/>
            <family val="2"/>
          </rPr>
          <t xml:space="preserve">Contact PDMA for formula- it will depend on your width and depth - same comment for the next 3 lines
</t>
        </r>
      </text>
    </comment>
    <comment ref="F112" authorId="0" shapeId="0" xr:uid="{00000000-0006-0000-0200-000008000000}">
      <text>
        <r>
          <rPr>
            <sz val="9"/>
            <color indexed="81"/>
            <rFont val="Tahoma"/>
            <family val="2"/>
          </rPr>
          <t xml:space="preserve">copy the formula from any other sqyd item below if it matches your depth, or contact PDMA, same comment for the next 3 lines
</t>
        </r>
      </text>
    </comment>
    <comment ref="F139" authorId="1" shapeId="0" xr:uid="{DBFB20A4-D4CB-4BFF-AD09-D3BEC8378FEA}">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390C2715-73B2-4ABF-B573-A46C9EF9CE99}">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DE5DBB30-3DE4-4DF6-B5AF-611DCBD0FDB6}">
      <text>
        <r>
          <rPr>
            <b/>
            <sz val="9"/>
            <color indexed="81"/>
            <rFont val="Tahoma"/>
            <charset val="1"/>
          </rPr>
          <t>Ouhssayne, Lahoucine. (FHWA):</t>
        </r>
        <r>
          <rPr>
            <sz val="9"/>
            <color indexed="81"/>
            <rFont val="Tahoma"/>
            <charset val="1"/>
          </rPr>
          <t xml:space="preserve">
Type 2 typically uses 4.75 JMF. Materials Engineers' calculations indicated the use of $0.05/SQYD.</t>
        </r>
      </text>
    </comment>
    <comment ref="F143" authorId="1" shapeId="0" xr:uid="{47F35CFF-E48F-42EF-84AC-6A30C0475295}">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E365EC22-2CB5-4AF1-AB73-C80667CBB4A8}">
      <text>
        <r>
          <rPr>
            <sz val="9"/>
            <color indexed="81"/>
            <rFont val="Tahoma"/>
            <family val="2"/>
          </rPr>
          <t>If using the same pay item more than once, go into the inputSchB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4A296E49-EE39-4F45-A952-6A2E0B037AA0}">
      <text>
        <r>
          <rPr>
            <sz val="9"/>
            <color indexed="81"/>
            <rFont val="Tahoma"/>
            <family val="2"/>
          </rPr>
          <t xml:space="preserve">If your Q_Ton unit price is not appearing, check the line item in the "inputSchB" tab to review further instructions.  </t>
        </r>
      </text>
    </comment>
    <comment ref="J14" authorId="2" shapeId="0" xr:uid="{1B1E9265-48C2-48C4-9B1B-4D1D6A78AB0F}">
      <text>
        <r>
          <rPr>
            <b/>
            <sz val="9"/>
            <color indexed="81"/>
            <rFont val="Tahoma"/>
            <family val="2"/>
          </rPr>
          <t>Use "Incentive Amt" as LPSM in MasterWorks.</t>
        </r>
        <r>
          <rPr>
            <sz val="9"/>
            <color indexed="81"/>
            <rFont val="Tahoma"/>
            <family val="2"/>
          </rPr>
          <t xml:space="preserve">
</t>
        </r>
      </text>
    </comment>
    <comment ref="J30" authorId="2" shapeId="0" xr:uid="{B5299574-EDE9-42DD-9550-1944E3FD0C76}">
      <text>
        <r>
          <rPr>
            <b/>
            <sz val="9"/>
            <color indexed="81"/>
            <rFont val="Tahoma"/>
            <family val="2"/>
          </rPr>
          <t>Use "Incentive Amt" as LPSM in MasterWorks.</t>
        </r>
      </text>
    </comment>
    <comment ref="J39" authorId="2" shapeId="0" xr:uid="{363F4676-BBE7-4804-B0F5-79D8323B23E4}">
      <text>
        <r>
          <rPr>
            <b/>
            <sz val="9"/>
            <color indexed="81"/>
            <rFont val="Tahoma"/>
            <family val="2"/>
          </rPr>
          <t>Use "Incentive Amt" as LPSM in MasterWorks.</t>
        </r>
      </text>
    </comment>
    <comment ref="J53" authorId="2" shapeId="0" xr:uid="{B2516797-9D91-4F62-AC5C-F8A82F8ACC18}">
      <text>
        <r>
          <rPr>
            <b/>
            <sz val="9"/>
            <color indexed="81"/>
            <rFont val="Tahoma"/>
            <family val="2"/>
          </rPr>
          <t>Use "Incentive Amt" as LPSM in MasterWorks.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83" authorId="0" shapeId="0" xr:uid="{C3787FE9-0246-4602-8224-41843F0A31CC}">
      <text>
        <r>
          <rPr>
            <sz val="9"/>
            <color indexed="81"/>
            <rFont val="Tahoma"/>
            <family val="2"/>
          </rPr>
          <t>copy the formula from any other sqyd item below if it matches your depth, or contact PDMA</t>
        </r>
      </text>
    </comment>
    <comment ref="F84" authorId="0" shapeId="0" xr:uid="{4C9656D6-4B2F-4CF8-BDC5-6133CBCE7658}">
      <text>
        <r>
          <rPr>
            <sz val="9"/>
            <color indexed="81"/>
            <rFont val="Tahoma"/>
            <family val="2"/>
          </rPr>
          <t>same as above</t>
        </r>
      </text>
    </comment>
    <comment ref="F86" authorId="0" shapeId="0" xr:uid="{2D162E03-6288-4CA9-92B7-BE375467AD48}">
      <text>
        <r>
          <rPr>
            <sz val="9"/>
            <color indexed="81"/>
            <rFont val="Tahoma"/>
            <family val="2"/>
          </rPr>
          <t>same as above</t>
        </r>
      </text>
    </comment>
    <comment ref="F87" authorId="0" shapeId="0" xr:uid="{AC6B124F-52AA-41D9-9DA9-576426848931}">
      <text>
        <r>
          <rPr>
            <sz val="9"/>
            <color indexed="81"/>
            <rFont val="Tahoma"/>
            <family val="2"/>
          </rPr>
          <t xml:space="preserve">same as above
</t>
        </r>
      </text>
    </comment>
    <comment ref="F98" authorId="0" shapeId="0" xr:uid="{7F8CEBD6-9017-43D7-BE74-4DCE38D7D0E0}">
      <text>
        <r>
          <rPr>
            <sz val="9"/>
            <color indexed="81"/>
            <rFont val="Tahoma"/>
            <family val="2"/>
          </rPr>
          <t>copy the formula from any other sqyd item below if it matches your depth, or contact PDMA</t>
        </r>
      </text>
    </comment>
    <comment ref="F99" authorId="0" shapeId="0" xr:uid="{9134DAFA-CF1B-4A8A-A6BB-12C9C9B0935F}">
      <text>
        <r>
          <rPr>
            <sz val="9"/>
            <color indexed="81"/>
            <rFont val="Tahoma"/>
            <family val="2"/>
          </rPr>
          <t>same as above</t>
        </r>
      </text>
    </comment>
    <comment ref="F101" authorId="0" shapeId="0" xr:uid="{E927AC3E-84B9-42B4-9482-C475F4FC5584}">
      <text>
        <r>
          <rPr>
            <sz val="9"/>
            <color indexed="81"/>
            <rFont val="Tahoma"/>
            <family val="2"/>
          </rPr>
          <t>same as above</t>
        </r>
      </text>
    </comment>
    <comment ref="F102" authorId="0" shapeId="0" xr:uid="{2153E326-9AC7-40BD-9349-CA64272D23BE}">
      <text>
        <r>
          <rPr>
            <sz val="9"/>
            <color indexed="81"/>
            <rFont val="Tahoma"/>
            <family val="2"/>
          </rPr>
          <t xml:space="preserve">same as above
</t>
        </r>
      </text>
    </comment>
    <comment ref="F108" authorId="0" shapeId="0" xr:uid="{136E9DF7-E8D2-4F46-83E9-179DCF496300}">
      <text>
        <r>
          <rPr>
            <sz val="9"/>
            <color indexed="81"/>
            <rFont val="Tahoma"/>
            <family val="2"/>
          </rPr>
          <t xml:space="preserve">Contact PDMA for formula- it will depend on your width and depth - same comment for the next 3 lines
</t>
        </r>
      </text>
    </comment>
    <comment ref="F112" authorId="0" shapeId="0" xr:uid="{C6AD3559-3A0C-41A3-9054-BDCF44625737}">
      <text>
        <r>
          <rPr>
            <sz val="9"/>
            <color indexed="81"/>
            <rFont val="Tahoma"/>
            <family val="2"/>
          </rPr>
          <t xml:space="preserve">copy the formula from any other sqyd item below if it matches your depth, or contact PDMA, same comment for the next 3 lines
</t>
        </r>
      </text>
    </comment>
    <comment ref="F139" authorId="1" shapeId="0" xr:uid="{ACDE60BA-75FB-4FB7-820F-1E3A3C2F4AD7}">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438E79F6-F555-48E1-85CA-3C3885676654}">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C9BF8EF6-EFF8-458A-AF17-2350BC90E135}">
      <text>
        <r>
          <rPr>
            <b/>
            <sz val="9"/>
            <color indexed="81"/>
            <rFont val="Tahoma"/>
            <charset val="1"/>
          </rPr>
          <t>Ouhssayne, Lahoucine. (FHWA):</t>
        </r>
        <r>
          <rPr>
            <sz val="9"/>
            <color indexed="81"/>
            <rFont val="Tahoma"/>
            <charset val="1"/>
          </rPr>
          <t xml:space="preserve">
Type 2 typically uses 4.75 JMF. Materials Engineers' calculations indicated the use of $0.05/SQYD.</t>
        </r>
      </text>
    </comment>
    <comment ref="F143" authorId="1" shapeId="0" xr:uid="{E2F04B40-3927-448A-9135-11123ADBB80E}">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F07A018A-6D13-442F-99DD-7C7C5CEA9A30}">
      <text>
        <r>
          <rPr>
            <sz val="9"/>
            <color indexed="81"/>
            <rFont val="Tahoma"/>
            <family val="2"/>
          </rPr>
          <t>If using the same pay item more than once, go into the inputSchC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A55CFDDC-CA82-4AFB-B969-5AE8DFDED56C}">
      <text>
        <r>
          <rPr>
            <sz val="9"/>
            <color indexed="81"/>
            <rFont val="Tahoma"/>
            <family val="2"/>
          </rPr>
          <t xml:space="preserve">If your Q_Ton unit price is not appearing, check the line item in the "inputSchC" tab to review further instructions.  </t>
        </r>
      </text>
    </comment>
    <comment ref="J14" authorId="2" shapeId="0" xr:uid="{652C0657-4A52-4FBD-B5C0-038147256157}">
      <text>
        <r>
          <rPr>
            <b/>
            <sz val="9"/>
            <color indexed="81"/>
            <rFont val="Tahoma"/>
            <family val="2"/>
          </rPr>
          <t>Use "Incentive Amt" as LPSM in MasterWorks.</t>
        </r>
        <r>
          <rPr>
            <sz val="9"/>
            <color indexed="81"/>
            <rFont val="Tahoma"/>
            <family val="2"/>
          </rPr>
          <t xml:space="preserve">
</t>
        </r>
      </text>
    </comment>
    <comment ref="J30" authorId="2" shapeId="0" xr:uid="{93DFC694-9E70-4B82-B9C1-C7ADAA33BEF5}">
      <text>
        <r>
          <rPr>
            <b/>
            <sz val="9"/>
            <color indexed="81"/>
            <rFont val="Tahoma"/>
            <family val="2"/>
          </rPr>
          <t>Use "Incentive Amt" as LPSM in MasterWorks.</t>
        </r>
      </text>
    </comment>
    <comment ref="J39" authorId="2" shapeId="0" xr:uid="{911E0F1F-0E2F-49B1-B600-8400BFCE4743}">
      <text>
        <r>
          <rPr>
            <b/>
            <sz val="9"/>
            <color indexed="81"/>
            <rFont val="Tahoma"/>
            <family val="2"/>
          </rPr>
          <t>Use "Incentive Amt" as LPSM in MasterWorks.</t>
        </r>
      </text>
    </comment>
    <comment ref="J53" authorId="2" shapeId="0" xr:uid="{C14F36CD-2DF9-42AB-9BB3-898887FE11C3}">
      <text>
        <r>
          <rPr>
            <b/>
            <sz val="9"/>
            <color indexed="81"/>
            <rFont val="Tahoma"/>
            <family val="2"/>
          </rPr>
          <t>Use "Incentive Amt" as LPSM in MasterWorks.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7" authorId="0" shapeId="0" xr:uid="{F3033EAE-42C5-4EE2-955F-5BDBE8F8D291}">
      <text>
        <r>
          <rPr>
            <b/>
            <sz val="9"/>
            <color indexed="81"/>
            <rFont val="Tahoma"/>
            <family val="2"/>
          </rPr>
          <t>Kirtley, Yanina (FHWA):</t>
        </r>
        <r>
          <rPr>
            <sz val="9"/>
            <color indexed="81"/>
            <rFont val="Tahoma"/>
            <family val="2"/>
          </rPr>
          <t xml:space="preserve">
copy the formula from any other sqyd item below if it matches your depth, or contact PDMA</t>
        </r>
      </text>
    </comment>
    <comment ref="F83" authorId="0" shapeId="0" xr:uid="{E5A6ECB2-CDD9-4AAA-B0DF-D6ECA9C3EE07}">
      <text>
        <r>
          <rPr>
            <sz val="9"/>
            <color indexed="81"/>
            <rFont val="Tahoma"/>
            <family val="2"/>
          </rPr>
          <t>copy the formula from any other sqyd item below if it matches your depth, or contact PDMA</t>
        </r>
      </text>
    </comment>
    <comment ref="F84" authorId="0" shapeId="0" xr:uid="{1202FE0C-CFD7-4D7A-9D7E-602784A3674D}">
      <text>
        <r>
          <rPr>
            <sz val="9"/>
            <color indexed="81"/>
            <rFont val="Tahoma"/>
            <family val="2"/>
          </rPr>
          <t>same as above</t>
        </r>
      </text>
    </comment>
    <comment ref="F86" authorId="0" shapeId="0" xr:uid="{8A0024B9-2AB5-48DE-A542-83C372BAEF90}">
      <text>
        <r>
          <rPr>
            <sz val="9"/>
            <color indexed="81"/>
            <rFont val="Tahoma"/>
            <family val="2"/>
          </rPr>
          <t>same as above</t>
        </r>
      </text>
    </comment>
    <comment ref="F87" authorId="0" shapeId="0" xr:uid="{D61D34A9-8F9C-4624-99D7-65F7958C4583}">
      <text>
        <r>
          <rPr>
            <sz val="9"/>
            <color indexed="81"/>
            <rFont val="Tahoma"/>
            <family val="2"/>
          </rPr>
          <t xml:space="preserve">same as above
</t>
        </r>
      </text>
    </comment>
    <comment ref="F98" authorId="0" shapeId="0" xr:uid="{70D8E7A9-2EDC-4CE1-A8E1-2CE58DAD2860}">
      <text>
        <r>
          <rPr>
            <sz val="9"/>
            <color indexed="81"/>
            <rFont val="Tahoma"/>
            <family val="2"/>
          </rPr>
          <t>copy the formula from any other sqyd item below if it matches your depth, or contact PDMA</t>
        </r>
      </text>
    </comment>
    <comment ref="F99" authorId="0" shapeId="0" xr:uid="{30763E78-BF7A-49D0-9E8D-101E21C4483F}">
      <text>
        <r>
          <rPr>
            <sz val="9"/>
            <color indexed="81"/>
            <rFont val="Tahoma"/>
            <family val="2"/>
          </rPr>
          <t>same as above</t>
        </r>
      </text>
    </comment>
    <comment ref="F101" authorId="0" shapeId="0" xr:uid="{1DA1D39F-1EFC-434C-B1A5-B993534E1DAA}">
      <text>
        <r>
          <rPr>
            <sz val="9"/>
            <color indexed="81"/>
            <rFont val="Tahoma"/>
            <family val="2"/>
          </rPr>
          <t>same as above</t>
        </r>
      </text>
    </comment>
    <comment ref="F102" authorId="0" shapeId="0" xr:uid="{CDC0DF95-4C22-457E-BCF3-CCA325C0F9F9}">
      <text>
        <r>
          <rPr>
            <sz val="9"/>
            <color indexed="81"/>
            <rFont val="Tahoma"/>
            <family val="2"/>
          </rPr>
          <t xml:space="preserve">same as above
</t>
        </r>
      </text>
    </comment>
    <comment ref="F108" authorId="0" shapeId="0" xr:uid="{57B1BA35-01F4-4517-ADE6-9FEA8594C784}">
      <text>
        <r>
          <rPr>
            <sz val="9"/>
            <color indexed="81"/>
            <rFont val="Tahoma"/>
            <family val="2"/>
          </rPr>
          <t xml:space="preserve">Contact PDMA for formula- it will depend on your width and depth - same comment for the next 3 lines
</t>
        </r>
      </text>
    </comment>
    <comment ref="F112" authorId="0" shapeId="0" xr:uid="{495FE7E7-FB7B-4FCD-8963-F6A67AC8421E}">
      <text>
        <r>
          <rPr>
            <sz val="9"/>
            <color indexed="81"/>
            <rFont val="Tahoma"/>
            <family val="2"/>
          </rPr>
          <t xml:space="preserve">copy the formula from any other sqyd item below if it matches your depth, or contact PDMA, same comment for the next 3 lines
</t>
        </r>
      </text>
    </comment>
    <comment ref="F139" authorId="1" shapeId="0" xr:uid="{D2B434BF-9F5C-49AF-A4E3-645795A4B043}">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9FB87628-B23C-4DEB-8C56-6A6ADDBEBE55}">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03E378E6-A317-444C-AB0F-AFC3FCAAD484}">
      <text>
        <r>
          <rPr>
            <b/>
            <sz val="9"/>
            <color indexed="81"/>
            <rFont val="Tahoma"/>
            <charset val="1"/>
          </rPr>
          <t>Ouhssayne, Lahoucine. (FHWA):</t>
        </r>
        <r>
          <rPr>
            <sz val="9"/>
            <color indexed="81"/>
            <rFont val="Tahoma"/>
            <charset val="1"/>
          </rPr>
          <t xml:space="preserve">
Type 2 typically uses 4.75 JMF. Materials Engineers' calculations indicated the use of $0.05/SQYD.</t>
        </r>
      </text>
    </comment>
    <comment ref="F143" authorId="1" shapeId="0" xr:uid="{DEFD22A5-640A-4253-97E9-A157A65C3D4D}">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CA71BDDC-70AB-4362-9589-C104CD76C811}">
      <text>
        <r>
          <rPr>
            <sz val="9"/>
            <color indexed="81"/>
            <rFont val="Tahoma"/>
            <family val="2"/>
          </rPr>
          <t>If using the same pay item more than once, go into the inputSchD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42EA2F6D-3125-4D9F-B96E-59C779353377}">
      <text>
        <r>
          <rPr>
            <sz val="9"/>
            <color indexed="81"/>
            <rFont val="Tahoma"/>
            <family val="2"/>
          </rPr>
          <t xml:space="preserve">If your Q_Ton unit price is not appearing, check the line item in the "inputSchD" tab to review further instructions.  </t>
        </r>
      </text>
    </comment>
    <comment ref="J14" authorId="2" shapeId="0" xr:uid="{392C4AE1-6055-4438-A06C-56C9D6890A8F}">
      <text>
        <r>
          <rPr>
            <b/>
            <sz val="9"/>
            <color indexed="81"/>
            <rFont val="Tahoma"/>
            <family val="2"/>
          </rPr>
          <t>Use "Incentive Amt" as LPSM in MasterWorks.</t>
        </r>
        <r>
          <rPr>
            <sz val="9"/>
            <color indexed="81"/>
            <rFont val="Tahoma"/>
            <family val="2"/>
          </rPr>
          <t xml:space="preserve">
</t>
        </r>
      </text>
    </comment>
    <comment ref="J30" authorId="2" shapeId="0" xr:uid="{665D3C91-05AB-44B1-845E-E9DCBF9D6A7D}">
      <text>
        <r>
          <rPr>
            <b/>
            <sz val="9"/>
            <color indexed="81"/>
            <rFont val="Tahoma"/>
            <family val="2"/>
          </rPr>
          <t>Use "Incentive Amt" as LPSM in MasterWorks.</t>
        </r>
      </text>
    </comment>
    <comment ref="J39" authorId="2" shapeId="0" xr:uid="{C6C080E9-3218-490B-9D5B-580DA30CCC49}">
      <text>
        <r>
          <rPr>
            <b/>
            <sz val="9"/>
            <color indexed="81"/>
            <rFont val="Tahoma"/>
            <family val="2"/>
          </rPr>
          <t>Use "Incentive Amt" as LPSM in MasterWorks.</t>
        </r>
      </text>
    </comment>
    <comment ref="J53" authorId="2" shapeId="0" xr:uid="{3D51AEE6-598C-47C9-AF4B-22B10D1A3A00}">
      <text>
        <r>
          <rPr>
            <b/>
            <sz val="9"/>
            <color indexed="81"/>
            <rFont val="Tahoma"/>
            <family val="2"/>
          </rPr>
          <t>Use "Incentive Amt" as LPSM in MasterWorks.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Kirtley, Yanina (FHWA)</author>
    <author>Ouhssayne, Lahoucine. (FHWA)</author>
  </authors>
  <commentList>
    <comment ref="F7" authorId="0" shapeId="0" xr:uid="{8A7361E0-23AD-41E7-BEA2-87A88C5130DB}">
      <text>
        <r>
          <rPr>
            <b/>
            <sz val="9"/>
            <color indexed="81"/>
            <rFont val="Tahoma"/>
            <family val="2"/>
          </rPr>
          <t>Kirtley, Yanina (FHWA):</t>
        </r>
        <r>
          <rPr>
            <sz val="9"/>
            <color indexed="81"/>
            <rFont val="Tahoma"/>
            <family val="2"/>
          </rPr>
          <t xml:space="preserve">
copy the formula from any other sqyd item below if it matches your depth, or contact PDMA</t>
        </r>
      </text>
    </comment>
    <comment ref="F83" authorId="0" shapeId="0" xr:uid="{AB3B3369-8D44-46FC-BB94-1F9F637C1322}">
      <text>
        <r>
          <rPr>
            <sz val="9"/>
            <color indexed="81"/>
            <rFont val="Tahoma"/>
            <family val="2"/>
          </rPr>
          <t>copy the formula from any other sqyd item below if it matches your depth, or contact PDMA</t>
        </r>
      </text>
    </comment>
    <comment ref="F84" authorId="0" shapeId="0" xr:uid="{B2B0767F-3B91-4F2C-955F-0B47547885BE}">
      <text>
        <r>
          <rPr>
            <sz val="9"/>
            <color indexed="81"/>
            <rFont val="Tahoma"/>
            <family val="2"/>
          </rPr>
          <t>same as above</t>
        </r>
      </text>
    </comment>
    <comment ref="F86" authorId="0" shapeId="0" xr:uid="{6FB99335-9C01-42D5-B14B-26F890B33A32}">
      <text>
        <r>
          <rPr>
            <sz val="9"/>
            <color indexed="81"/>
            <rFont val="Tahoma"/>
            <family val="2"/>
          </rPr>
          <t>same as above</t>
        </r>
      </text>
    </comment>
    <comment ref="F87" authorId="0" shapeId="0" xr:uid="{FF1CC0EA-E0AE-420D-9662-1F083E55A534}">
      <text>
        <r>
          <rPr>
            <sz val="9"/>
            <color indexed="81"/>
            <rFont val="Tahoma"/>
            <family val="2"/>
          </rPr>
          <t xml:space="preserve">same as above
</t>
        </r>
      </text>
    </comment>
    <comment ref="F98" authorId="0" shapeId="0" xr:uid="{9619F859-ADF7-4BD4-AC5B-EF741450015F}">
      <text>
        <r>
          <rPr>
            <sz val="9"/>
            <color indexed="81"/>
            <rFont val="Tahoma"/>
            <family val="2"/>
          </rPr>
          <t>copy the formula from any other sqyd item below if it matches your depth, or contact PDMA</t>
        </r>
      </text>
    </comment>
    <comment ref="F99" authorId="0" shapeId="0" xr:uid="{2EE3FEE9-E504-4A24-8719-E8880D1AB76E}">
      <text>
        <r>
          <rPr>
            <sz val="9"/>
            <color indexed="81"/>
            <rFont val="Tahoma"/>
            <family val="2"/>
          </rPr>
          <t>same as above</t>
        </r>
      </text>
    </comment>
    <comment ref="F101" authorId="0" shapeId="0" xr:uid="{61BE7C0F-6937-420D-BD7A-FE6C776B6D88}">
      <text>
        <r>
          <rPr>
            <sz val="9"/>
            <color indexed="81"/>
            <rFont val="Tahoma"/>
            <family val="2"/>
          </rPr>
          <t>same as above</t>
        </r>
      </text>
    </comment>
    <comment ref="F102" authorId="0" shapeId="0" xr:uid="{A53DD001-9A2E-457B-A5B3-D5437017EF0B}">
      <text>
        <r>
          <rPr>
            <sz val="9"/>
            <color indexed="81"/>
            <rFont val="Tahoma"/>
            <family val="2"/>
          </rPr>
          <t xml:space="preserve">same as above
</t>
        </r>
      </text>
    </comment>
    <comment ref="F108" authorId="0" shapeId="0" xr:uid="{7ED4358E-26C7-4F92-8257-83C10C18C030}">
      <text>
        <r>
          <rPr>
            <sz val="9"/>
            <color indexed="81"/>
            <rFont val="Tahoma"/>
            <family val="2"/>
          </rPr>
          <t xml:space="preserve">Contact PDMA for formula- it will depend on your width and depth - same comment for the next 3 lines
</t>
        </r>
      </text>
    </comment>
    <comment ref="F112" authorId="0" shapeId="0" xr:uid="{720A6B1C-BD8F-4C20-93FA-A564DFBDE370}">
      <text>
        <r>
          <rPr>
            <sz val="9"/>
            <color indexed="81"/>
            <rFont val="Tahoma"/>
            <family val="2"/>
          </rPr>
          <t xml:space="preserve">copy the formula from any other sqyd item below if it matches your depth, or contact PDMA, same comment for the next 3 lines
</t>
        </r>
      </text>
    </comment>
    <comment ref="F139" authorId="1" shapeId="0" xr:uid="{183C8D63-BA0A-4551-B835-84E0DD739B21}">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 ref="F140" authorId="1" shapeId="0" xr:uid="{0EE5A2CC-9786-4335-8783-A1B8213485FB}">
      <text>
        <r>
          <rPr>
            <sz val="9"/>
            <color indexed="81"/>
            <rFont val="Tahoma"/>
            <family val="2"/>
          </rPr>
          <t>Type 1 uses State JMF which might not be known at first. The project can also be in multiple states that use different JMFs. See Material Engineer for the value to use.</t>
        </r>
      </text>
    </comment>
    <comment ref="F141" authorId="1" shapeId="0" xr:uid="{4CE9A8B2-6054-4947-B3A7-E103A81E86E0}">
      <text>
        <r>
          <rPr>
            <b/>
            <sz val="9"/>
            <color indexed="81"/>
            <rFont val="Tahoma"/>
            <charset val="1"/>
          </rPr>
          <t>Ouhssayne, Lahoucine. (FHWA):</t>
        </r>
        <r>
          <rPr>
            <sz val="9"/>
            <color indexed="81"/>
            <rFont val="Tahoma"/>
            <charset val="1"/>
          </rPr>
          <t xml:space="preserve">
Type 2 typically uses 4.75 JMF. Materials Engineers' calculations indicated the use of $0.05/SQYD.</t>
        </r>
      </text>
    </comment>
    <comment ref="F143" authorId="1" shapeId="0" xr:uid="{CF06C7AD-1A2E-4EFF-B347-496E5FDC8A96}">
      <text>
        <r>
          <rPr>
            <sz val="9"/>
            <color indexed="81"/>
            <rFont val="Tahoma"/>
            <family val="2"/>
          </rPr>
          <t>Use the following pay factors:
- 0.05 for 4.75 JMF
- 0.08 for 9.5 JMF
- See Materials Engineer if JMF is not known.</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Kirtley, Yanina (FHWA)</author>
    <author>Carruthers, Marc A. (FHWA)</author>
    <author>Ouhssayne, Lahoucine. (FHWA)</author>
  </authors>
  <commentList>
    <comment ref="C13" authorId="0" shapeId="0" xr:uid="{4CAD07D7-82A2-4C5C-960E-9258D5F6BAF1}">
      <text>
        <r>
          <rPr>
            <sz val="9"/>
            <color indexed="81"/>
            <rFont val="Tahoma"/>
            <family val="2"/>
          </rPr>
          <t>If using the same pay item more than once, go into the inputSchE tab and copy the row of the existing pay item and then insert a duplicate row.  Then provide a unique pay item number to each.  Such as 30101-3000 would become 30101-3000A and 30101-3000B</t>
        </r>
        <r>
          <rPr>
            <b/>
            <sz val="9"/>
            <color indexed="81"/>
            <rFont val="Tahoma"/>
            <family val="2"/>
          </rPr>
          <t xml:space="preserve">
</t>
        </r>
      </text>
    </comment>
    <comment ref="H14" authorId="1" shapeId="0" xr:uid="{851C2B7C-D6BF-4E50-A8FF-301825BD6422}">
      <text>
        <r>
          <rPr>
            <sz val="9"/>
            <color indexed="81"/>
            <rFont val="Tahoma"/>
            <family val="2"/>
          </rPr>
          <t xml:space="preserve">If your Q_Ton unit price is not appearing, check the line item in the "inputSchE" tab to review further instructions.  </t>
        </r>
      </text>
    </comment>
    <comment ref="J14" authorId="2" shapeId="0" xr:uid="{BDEAE3A1-AE6D-4E0F-A2EC-D876C1F63719}">
      <text>
        <r>
          <rPr>
            <b/>
            <sz val="9"/>
            <color indexed="81"/>
            <rFont val="Tahoma"/>
            <family val="2"/>
          </rPr>
          <t>Use "Incentive Amt" as LPSM in MasterWorks.</t>
        </r>
        <r>
          <rPr>
            <sz val="9"/>
            <color indexed="81"/>
            <rFont val="Tahoma"/>
            <family val="2"/>
          </rPr>
          <t xml:space="preserve">
</t>
        </r>
      </text>
    </comment>
    <comment ref="J30" authorId="2" shapeId="0" xr:uid="{4BF3380F-A055-4E3A-A997-8C1C3C3B2E5B}">
      <text>
        <r>
          <rPr>
            <b/>
            <sz val="9"/>
            <color indexed="81"/>
            <rFont val="Tahoma"/>
            <family val="2"/>
          </rPr>
          <t>Use "Incentive Amt" as LPSM in MasterWorks.</t>
        </r>
      </text>
    </comment>
    <comment ref="J39" authorId="2" shapeId="0" xr:uid="{BB59FE18-7CE6-4E71-B44E-B5ADA4E018B5}">
      <text>
        <r>
          <rPr>
            <b/>
            <sz val="9"/>
            <color indexed="81"/>
            <rFont val="Tahoma"/>
            <family val="2"/>
          </rPr>
          <t>Use "Incentive Amt" as LPSM in MasterWorks.</t>
        </r>
      </text>
    </comment>
    <comment ref="J53" authorId="2" shapeId="0" xr:uid="{21849B56-9EB5-4A69-AA9E-D4B1530F258B}">
      <text>
        <r>
          <rPr>
            <b/>
            <sz val="9"/>
            <color indexed="81"/>
            <rFont val="Tahoma"/>
            <family val="2"/>
          </rPr>
          <t>Use "Incentive Amt" as LPSM in MasterWorks.</t>
        </r>
        <r>
          <rPr>
            <sz val="9"/>
            <color indexed="81"/>
            <rFont val="Tahoma"/>
            <family val="2"/>
          </rPr>
          <t xml:space="preserve">
</t>
        </r>
      </text>
    </comment>
  </commentList>
</comments>
</file>

<file path=xl/sharedStrings.xml><?xml version="1.0" encoding="utf-8"?>
<sst xmlns="http://schemas.openxmlformats.org/spreadsheetml/2006/main" count="4087" uniqueCount="464">
  <si>
    <t>Unit Price</t>
  </si>
  <si>
    <t>Incentive Amt</t>
  </si>
  <si>
    <t xml:space="preserve">Project #:  </t>
  </si>
  <si>
    <t xml:space="preserve">Project Name:  </t>
  </si>
  <si>
    <t xml:space="preserve">Date:  </t>
  </si>
  <si>
    <t>A</t>
  </si>
  <si>
    <t xml:space="preserve">Units:  </t>
  </si>
  <si>
    <t xml:space="preserve">TOTAL MATERIALS INCENTIVES:  </t>
  </si>
  <si>
    <t xml:space="preserve">TOTAL ROUGHNESS INCENTIVES:  </t>
  </si>
  <si>
    <t>Quantity</t>
  </si>
  <si>
    <t xml:space="preserve">Note 1: </t>
  </si>
  <si>
    <t>Incentive Amt = (Quantity x Q_t Unit Price)</t>
  </si>
  <si>
    <t xml:space="preserve">Note 2: </t>
  </si>
  <si>
    <t xml:space="preserve">Note 3: </t>
  </si>
  <si>
    <t xml:space="preserve">FP Version:  </t>
  </si>
  <si>
    <t>FP-03</t>
  </si>
  <si>
    <t>FP-14</t>
  </si>
  <si>
    <t>Section 302 - Untreated Aggregate Courses</t>
  </si>
  <si>
    <t>30201</t>
  </si>
  <si>
    <t>Treated aggregate course</t>
  </si>
  <si>
    <t>30202</t>
  </si>
  <si>
    <t>Treated aggregate course*</t>
  </si>
  <si>
    <t>Section 305 - Full Depth reclamation (FDR) with Cement</t>
  </si>
  <si>
    <t>30501</t>
  </si>
  <si>
    <t>FDR with Cement*</t>
  </si>
  <si>
    <t>30502</t>
  </si>
  <si>
    <t>FDR with Cement</t>
  </si>
  <si>
    <t>Tons</t>
  </si>
  <si>
    <t>tonnes</t>
  </si>
  <si>
    <t>SQYD</t>
  </si>
  <si>
    <t>m2</t>
  </si>
  <si>
    <t>Section 304 - Aggregate Stabilization</t>
  </si>
  <si>
    <t>30401</t>
  </si>
  <si>
    <t>Aggregate stabilzation imported aggregate</t>
  </si>
  <si>
    <t>30402</t>
  </si>
  <si>
    <t>Aggregate stabilzation imported aggregate*</t>
  </si>
  <si>
    <t>30405</t>
  </si>
  <si>
    <t>Aggregate stabilzation in-place aggregate*</t>
  </si>
  <si>
    <t>30410</t>
  </si>
  <si>
    <t>Aggregate stabilzation imported surface course*</t>
  </si>
  <si>
    <t>30411</t>
  </si>
  <si>
    <t>Section 306 - Full Depth reclamation (FDR) with Asphalt</t>
  </si>
  <si>
    <t>30601</t>
  </si>
  <si>
    <t>FDR with Emulsified Asphalt*</t>
  </si>
  <si>
    <t>30602</t>
  </si>
  <si>
    <t>30603</t>
  </si>
  <si>
    <t>FDR with Foamed Asphalt*</t>
  </si>
  <si>
    <t>30604</t>
  </si>
  <si>
    <t>FDR with Foamed Asphalt</t>
  </si>
  <si>
    <t>Section 310 - Cold InPlace (CIP) Recycled Asphalt Base</t>
  </si>
  <si>
    <t>31001</t>
  </si>
  <si>
    <t>CIP Recycled Ashalt Base*</t>
  </si>
  <si>
    <t>31002</t>
  </si>
  <si>
    <t>CIP Recycled Ashalt Base</t>
  </si>
  <si>
    <t>40101</t>
  </si>
  <si>
    <t>Superpave pavement</t>
  </si>
  <si>
    <t>40102</t>
  </si>
  <si>
    <t>Superpave pavement wedge and levelling course</t>
  </si>
  <si>
    <t>Section 401 - Superpave HACP</t>
  </si>
  <si>
    <t>Section 402 - HACP by Hveem or Marshall</t>
  </si>
  <si>
    <t>Section 311 - Stabilized Aggregate Base Course</t>
  </si>
  <si>
    <t>31101</t>
  </si>
  <si>
    <t>Stabilized aggregate surface course*</t>
  </si>
  <si>
    <t>31102</t>
  </si>
  <si>
    <t>Section 403 - Hot Asphalt Concrete Pavement</t>
  </si>
  <si>
    <t>Hot asphalt concrete pavement, wedge and levelling course</t>
  </si>
  <si>
    <t>Section 401 - ACP by Gyratory Mix Design Method</t>
  </si>
  <si>
    <t>Asphalt concrete pavement, gyratory mix, wedged and leveling</t>
  </si>
  <si>
    <t>40301</t>
  </si>
  <si>
    <t>Hot asphalt concrete pavement</t>
  </si>
  <si>
    <t>40302</t>
  </si>
  <si>
    <t>Asphalt concrete pavement, gyratory mix</t>
  </si>
  <si>
    <t>Section 402 - ACP by Hveem or Marshall Mix Design Method</t>
  </si>
  <si>
    <t>40201</t>
  </si>
  <si>
    <t>ACP Hveem or Marshall Mix Design Method</t>
  </si>
  <si>
    <t>40202</t>
  </si>
  <si>
    <t>Section 405 - Open-Graded Asphalt Friction Course</t>
  </si>
  <si>
    <t>40501</t>
  </si>
  <si>
    <t>HACP Hveem or Marshall test</t>
  </si>
  <si>
    <t>HACP Hveem or Marshall test, wedge and levelling course</t>
  </si>
  <si>
    <t>FDR with Emulsified Asphalt</t>
  </si>
  <si>
    <t>Open-graded asphalt friction course</t>
  </si>
  <si>
    <t>Section 403 - Asphalt Concrete</t>
  </si>
  <si>
    <t>Asphalt concrete pavement</t>
  </si>
  <si>
    <t>Asphalt concrete pavement*</t>
  </si>
  <si>
    <t>40303</t>
  </si>
  <si>
    <t>Asphalt concrete pavement, wedge and levelling</t>
  </si>
  <si>
    <t>Section 408 - Cold Recycled Asphalt base Course</t>
  </si>
  <si>
    <t>40801</t>
  </si>
  <si>
    <t>Cold recylced aphalt base</t>
  </si>
  <si>
    <t>40802</t>
  </si>
  <si>
    <t>Cold recylced aphalt base*</t>
  </si>
  <si>
    <t>Section 405 - Open-Graded Asphalt Friction</t>
  </si>
  <si>
    <t>Section 416 - Continuous Cold Recycled Asphalt Base Course</t>
  </si>
  <si>
    <t>41601</t>
  </si>
  <si>
    <t>Continuous cold recylced aphalt base</t>
  </si>
  <si>
    <t>Section 418 - Foamed Asphalt Stabilized Base - not in FP (in SCRs)</t>
  </si>
  <si>
    <t>Not applicable</t>
  </si>
  <si>
    <t/>
  </si>
  <si>
    <t>Section 501 - Rigid pavement</t>
  </si>
  <si>
    <t>50101</t>
  </si>
  <si>
    <t>Reinforced rigid pavement</t>
  </si>
  <si>
    <t>50102</t>
  </si>
  <si>
    <t>Plain rigid pavement</t>
  </si>
  <si>
    <t xml:space="preserve">Schedule: </t>
  </si>
  <si>
    <t>Bid Amount:</t>
  </si>
  <si>
    <t>Adjustments to Bid Amount (15401 Gov. Lab Trailer)</t>
  </si>
  <si>
    <t>Adjusted Bid Amount:</t>
  </si>
  <si>
    <t>Total Material Incentives:</t>
  </si>
  <si>
    <t>Total Roughness Incentives:</t>
  </si>
  <si>
    <t>Partnering/Completion Incentives:</t>
  </si>
  <si>
    <t>Total Contingencies/Incentives:</t>
  </si>
  <si>
    <t>Revised Bid Amounts (PR Amounts):</t>
  </si>
  <si>
    <t>Summary</t>
  </si>
  <si>
    <t>Sheet2</t>
  </si>
  <si>
    <t>Sheet3</t>
  </si>
  <si>
    <t>Sheet4</t>
  </si>
  <si>
    <t>Sheet5</t>
  </si>
  <si>
    <t>Sheet6</t>
  </si>
  <si>
    <t xml:space="preserve">Units: </t>
  </si>
  <si>
    <t>Total</t>
  </si>
  <si>
    <t>Sheet1</t>
  </si>
  <si>
    <t>EFLHD - Materials &amp; Roughness Incentives Adjustments Worksheet</t>
  </si>
  <si>
    <t xml:space="preserve">    EFLHD - Acquisition Incentive Summary</t>
  </si>
  <si>
    <t>Item #</t>
  </si>
  <si>
    <t>(Item Incentive is calculated from)</t>
  </si>
  <si>
    <t>Use for the following FP Sections:  401 and 402</t>
  </si>
  <si>
    <r>
      <t>Materials Incentives (6% Max. Incentive Items)</t>
    </r>
    <r>
      <rPr>
        <b/>
        <vertAlign val="superscript"/>
        <sz val="12"/>
        <color rgb="FFFF0000"/>
        <rFont val="Arial"/>
        <family val="2"/>
      </rPr>
      <t>SEE NOTE 2</t>
    </r>
  </si>
  <si>
    <r>
      <t>Roughness Incentives</t>
    </r>
    <r>
      <rPr>
        <b/>
        <vertAlign val="superscript"/>
        <sz val="12"/>
        <color rgb="FFFF0000"/>
        <rFont val="Arial"/>
        <family val="2"/>
      </rPr>
      <t>SEE NOTE 3</t>
    </r>
  </si>
  <si>
    <t>Pay</t>
  </si>
  <si>
    <t>Roadway Name</t>
  </si>
  <si>
    <t>(Route Incentive is calculated from)</t>
  </si>
  <si>
    <t>Roadway Length</t>
  </si>
  <si>
    <t>Pay Item #</t>
  </si>
  <si>
    <t xml:space="preserve">                        Materials Incentives (5% Max. Incentive Items)</t>
  </si>
  <si>
    <t xml:space="preserve">included; cattle guards and bridges not being overlaid are not included). Use only if the pavement roughness is Type I, II, or III (do not use for </t>
  </si>
  <si>
    <t>additional lines for Schedules that contain more than three qualifying roadways).</t>
  </si>
  <si>
    <t>type IV). See FP Subsection 401.16, for more information. A line item is required for EACH qualifying roadway included in the Schedule (add</t>
  </si>
  <si>
    <t xml:space="preserve">Note 5: </t>
  </si>
  <si>
    <t>SEE NOTE 5</t>
  </si>
  <si>
    <t>Line Item #</t>
  </si>
  <si>
    <t>30103-4000</t>
  </si>
  <si>
    <t>30112-0000</t>
  </si>
  <si>
    <t>30101-0000</t>
  </si>
  <si>
    <t>30101-1000</t>
  </si>
  <si>
    <t>30101-2000</t>
  </si>
  <si>
    <t>30101-3000</t>
  </si>
  <si>
    <t>30101-4000</t>
  </si>
  <si>
    <t>30102-0000</t>
  </si>
  <si>
    <t>30102-0100</t>
  </si>
  <si>
    <t>30102-0200</t>
  </si>
  <si>
    <t>30102-0300</t>
  </si>
  <si>
    <t>30102-0400</t>
  </si>
  <si>
    <t>30102-0500</t>
  </si>
  <si>
    <t>30102-0600</t>
  </si>
  <si>
    <t>30102-0700</t>
  </si>
  <si>
    <t>30102-0800</t>
  </si>
  <si>
    <t>30102-0900</t>
  </si>
  <si>
    <t>30102-1000</t>
  </si>
  <si>
    <t>30102-1100</t>
  </si>
  <si>
    <t>30102-1200</t>
  </si>
  <si>
    <t>30102-1300</t>
  </si>
  <si>
    <t>30102-1400</t>
  </si>
  <si>
    <t>30102-1500</t>
  </si>
  <si>
    <t>30102-1600</t>
  </si>
  <si>
    <t>30102-1700</t>
  </si>
  <si>
    <t>30102-1800</t>
  </si>
  <si>
    <t>30102-1900</t>
  </si>
  <si>
    <t>30102-2000</t>
  </si>
  <si>
    <t>30102-2100</t>
  </si>
  <si>
    <t>30102-2150</t>
  </si>
  <si>
    <t>30102-2200</t>
  </si>
  <si>
    <t>30102-2300</t>
  </si>
  <si>
    <t>30102-2400</t>
  </si>
  <si>
    <t>30103-0000</t>
  </si>
  <si>
    <t>30103-1000</t>
  </si>
  <si>
    <t>30103-2000</t>
  </si>
  <si>
    <t>30103-3000</t>
  </si>
  <si>
    <t>30105-0000</t>
  </si>
  <si>
    <t>30105-1000</t>
  </si>
  <si>
    <t>30105-2000</t>
  </si>
  <si>
    <t>30106-0100</t>
  </si>
  <si>
    <t>30106-0200</t>
  </si>
  <si>
    <t>30106-0300</t>
  </si>
  <si>
    <t>30106-0400</t>
  </si>
  <si>
    <t>30106-0500</t>
  </si>
  <si>
    <t>30106-0600</t>
  </si>
  <si>
    <t>30106-0700</t>
  </si>
  <si>
    <t>30106-0800</t>
  </si>
  <si>
    <t>30106-0900</t>
  </si>
  <si>
    <t>30106-1000</t>
  </si>
  <si>
    <t>30107-0000</t>
  </si>
  <si>
    <t>30107-1000</t>
  </si>
  <si>
    <t>30107-2000</t>
  </si>
  <si>
    <t>30110-0000</t>
  </si>
  <si>
    <t>30111-1000</t>
  </si>
  <si>
    <t>AGGREGATE BASE</t>
  </si>
  <si>
    <t>TON</t>
  </si>
  <si>
    <t>AGGREGATE BASE GRADING C</t>
  </si>
  <si>
    <t>AGGREGATE BASE GRADING D</t>
  </si>
  <si>
    <t>AGGREGATE BASE GRADING E</t>
  </si>
  <si>
    <t>AGGREGATE BASE GRADING C OR D</t>
  </si>
  <si>
    <t>AGGREGATE BASE GRADING C, 4-INCH DEPTH</t>
  </si>
  <si>
    <t>AGGREGATE BASE GRADING C, 6-INCH DEPTH</t>
  </si>
  <si>
    <t>AGGREGATE BASE GRADING C, 8-INCH DEPTH</t>
  </si>
  <si>
    <t>AGGREGATE BASE GRADING C, 10-INCH DEPTH</t>
  </si>
  <si>
    <t>AGGREGATE BASE GRADING C, 12-INCH DEPTH</t>
  </si>
  <si>
    <t>AGGREGATE BASE GRADING D, 4-INCH DEPTH</t>
  </si>
  <si>
    <t>AGGREGATE BASE GRADING D, 6-INCH DEPTH</t>
  </si>
  <si>
    <t>AGGREGATE BASE GRADING D, 8-INCH DEPTH</t>
  </si>
  <si>
    <t>AGGREGATE BASE GRADING D, 10-INCH DEPTH</t>
  </si>
  <si>
    <t>AGGREGATE BASE GRADING D, 12-INCH DEPTH</t>
  </si>
  <si>
    <t>AGGREGATE BASE GRADING E, 4-INCH DEPTH</t>
  </si>
  <si>
    <t>AGGREGATE BASE GRADING E, 6-INCH DEPTH</t>
  </si>
  <si>
    <t>AGGREGATE BASE GRADING E, 8-INCH DEPTH</t>
  </si>
  <si>
    <t>AGGREGATE BASE GRADING E, 10-INCH DEPTH</t>
  </si>
  <si>
    <t>AGGREGATE BASE GRADING E, 12-INCH DEPTH</t>
  </si>
  <si>
    <t>AGGREGATE BASE GRADING C OR D, 2-INCH DEPTH</t>
  </si>
  <si>
    <t>AGGREGATE BASE GRADING C OR D, 3-INCH DEPTH</t>
  </si>
  <si>
    <t>AGGREGATE BASE GRADING C OR D, 4-INCH DEPTH</t>
  </si>
  <si>
    <t>AGGREGATE BASE GRADING C OR D, 5-INCH DEPTH</t>
  </si>
  <si>
    <t>AGGREGATE BASE GRADING C OR D, 6-INCH DEPTH</t>
  </si>
  <si>
    <t>AGGREGATE BASE GRADING C OR D, 8-INCH DEPTH</t>
  </si>
  <si>
    <t>AGGREGATE BASE GRADING C OR D, 9-INCH DEPTH</t>
  </si>
  <si>
    <t>AGGREGATE BASE GRADING C OR D, 10-INCH DEPTH</t>
  </si>
  <si>
    <t>AGGREGATE BASE GRADING C OR D, 12-INCH DEPTH</t>
  </si>
  <si>
    <t>AGGREGATE BASE GRADING C OR D, 16-INCH DEPTH</t>
  </si>
  <si>
    <t>CUYD</t>
  </si>
  <si>
    <t>SUBBASE</t>
  </si>
  <si>
    <t>SUBBASE GRADING A</t>
  </si>
  <si>
    <t>SUBBASE GRADING B</t>
  </si>
  <si>
    <t>SUBBASE GRADING A, 4-INCH DEPTH</t>
  </si>
  <si>
    <t>SUBBASE GRADING A, 6-INCH DEPTH</t>
  </si>
  <si>
    <t>SUBBASE GRADING A, 8-INCH DEPTH</t>
  </si>
  <si>
    <t>SUBBASE GRADING A, 10-INCH DEPTH</t>
  </si>
  <si>
    <t>SUBBASE GRADING A, 12-INCH DEPTH</t>
  </si>
  <si>
    <t>SUBBASE GRADING B, 4-INCH DEPTH</t>
  </si>
  <si>
    <t>SUBBASE GRADING B, 6-INCH DEPTH</t>
  </si>
  <si>
    <t>SUBBASE GRADING B, 8-INCH DEPTH</t>
  </si>
  <si>
    <t>SUBBASE GRADING B, 10-INCH DEPTH</t>
  </si>
  <si>
    <t>SUBBASE GRADING B, 12-INCH DEPTH</t>
  </si>
  <si>
    <t>AGGREGATE SURFACE COURSE</t>
  </si>
  <si>
    <t>40702-0100</t>
  </si>
  <si>
    <t>40702-0200</t>
  </si>
  <si>
    <t>40702-0300</t>
  </si>
  <si>
    <t>40702-0400</t>
  </si>
  <si>
    <t>40702-1100</t>
  </si>
  <si>
    <t>40702-1200</t>
  </si>
  <si>
    <t>40702-1300</t>
  </si>
  <si>
    <t>CHIP SEAL, TYPE 1A</t>
  </si>
  <si>
    <t>CHIP SEAL, TYPE 1B</t>
  </si>
  <si>
    <t>CHIP SEAL, TYPE 1C</t>
  </si>
  <si>
    <t>CHIP SEAL, TYPE 1D</t>
  </si>
  <si>
    <t>CHIP SEAL, TYPE 2A</t>
  </si>
  <si>
    <t>CHIP SEAL, TYPE 2B</t>
  </si>
  <si>
    <t>CHIP SEAL, TYPE 2C</t>
  </si>
  <si>
    <t>Item Description-USC</t>
  </si>
  <si>
    <t>UNIT_E</t>
  </si>
  <si>
    <t>Q_t Unit Price = (Unit Price x (either 0.01, 0.03, 0.04, or 0.05 - incentive depends on the quantity))</t>
  </si>
  <si>
    <t>Q_Ton Unit Price</t>
  </si>
  <si>
    <t>"Line item #" should match the EE pay item line number.</t>
  </si>
  <si>
    <t>EMULSIFIED ASPHALT TREATED AGGREGATE BASE</t>
  </si>
  <si>
    <t>EMULSIFIED ASPHALT TREATED AGGREGATE BASE, GRADING C</t>
  </si>
  <si>
    <t>EMULSIFIED ASPHALT TREATED AGGREGATE BASE, GRADING D</t>
  </si>
  <si>
    <t>EMULSIFIED ASPHALT TREATED AGGREGATE BASE, GRADING E</t>
  </si>
  <si>
    <t>EMULSIFIED ASPHALT TREATED AGGREGATE BASE, GRADING C OR D</t>
  </si>
  <si>
    <t>31101-1000</t>
  </si>
  <si>
    <t>31101-2000</t>
  </si>
  <si>
    <t>31101-3000</t>
  </si>
  <si>
    <t>31101-4000</t>
  </si>
  <si>
    <t>31102-1000</t>
  </si>
  <si>
    <t>31102-2000</t>
  </si>
  <si>
    <t>31102-3000</t>
  </si>
  <si>
    <t>31102-4000</t>
  </si>
  <si>
    <t>31103-1000</t>
  </si>
  <si>
    <t>31103-3000</t>
  </si>
  <si>
    <t>MILE</t>
  </si>
  <si>
    <t>STABILIZED AGGREGATE SURFACE COURSE, IN-PLACE AGGREGATE</t>
  </si>
  <si>
    <t>STABILIZED AGGREGATE SURFACE COURSE, CALCIUM CHLORIDE, IN-PLACE AGGREGATE</t>
  </si>
  <si>
    <t>40501-0100</t>
  </si>
  <si>
    <t>OPEN-GRADED ASPHALT FRICTION COURSE, GRADING A OR B</t>
  </si>
  <si>
    <t>40701-0100</t>
  </si>
  <si>
    <t>40701-0200</t>
  </si>
  <si>
    <t>40701-0300</t>
  </si>
  <si>
    <t>40701-0400</t>
  </si>
  <si>
    <t>40701-1100</t>
  </si>
  <si>
    <t>40701-1200</t>
  </si>
  <si>
    <t>40701-1300</t>
  </si>
  <si>
    <t>40701-1400</t>
  </si>
  <si>
    <t>40701-1500</t>
  </si>
  <si>
    <t>40701-1600</t>
  </si>
  <si>
    <t>CHIP SEAL, TYPE 2A, GRADING A</t>
  </si>
  <si>
    <t>CHIP SEAL, TYPE 2A, GRADING C</t>
  </si>
  <si>
    <t>CHIP SEAL, TYPE 2B, GRADING B</t>
  </si>
  <si>
    <t>CHIP SEAL, TYPE 2B, GRADING C</t>
  </si>
  <si>
    <t>CHIP SEAL, TYPE 2C, GRADING C</t>
  </si>
  <si>
    <t>CHIP SEAL, TYPE 2C, GRADING D</t>
  </si>
  <si>
    <t>40101-0080</t>
  </si>
  <si>
    <t>40101-0100</t>
  </si>
  <si>
    <t>40101-0200</t>
  </si>
  <si>
    <t>40101-0300</t>
  </si>
  <si>
    <t>40101-0500</t>
  </si>
  <si>
    <t>40101-0600</t>
  </si>
  <si>
    <t>40101-0700</t>
  </si>
  <si>
    <t>40101-0900</t>
  </si>
  <si>
    <t>40101-1000</t>
  </si>
  <si>
    <t>40101-1100</t>
  </si>
  <si>
    <t>40101-1300</t>
  </si>
  <si>
    <t>40101-1400</t>
  </si>
  <si>
    <t>40101-1500</t>
  </si>
  <si>
    <t>40101-5500</t>
  </si>
  <si>
    <t>40101-5600</t>
  </si>
  <si>
    <t>40101-5700</t>
  </si>
  <si>
    <t>40102-0100</t>
  </si>
  <si>
    <t>40102-0500</t>
  </si>
  <si>
    <t>40102-0900</t>
  </si>
  <si>
    <t>40102-1300</t>
  </si>
  <si>
    <t>40102-5500</t>
  </si>
  <si>
    <t>ASPHALT CONCRETE PAVEMENT, GYRATORY MIX, NO. 4 SIEVE NOMINAL MAXIMUM SIZE AGGREGATE, &lt;0.3 MILLION ESAL</t>
  </si>
  <si>
    <t>ASPHALT CONCRETE PAVEMENT, GYRATORY MIX, 3/8-INCH NOMINAL MAXIMUM SIZE AGGREGATE, &lt;0.3 MILLION ESAL</t>
  </si>
  <si>
    <t>ASPHALT CONCRETE PAVEMENT, GYRATORY MIX, 3/8-INCH NOMINAL MAXIMUM SIZE AGGREGATE, 0.3 TO &lt;3 MILLION ESAL</t>
  </si>
  <si>
    <t>ASPHALT CONCRETE PAVEMENT, GYRATORY MIX, 3/8-INCH NOMINAL MAXIMUM SIZE AGGREGATE, 3 TO &lt;30 MILLION ESAL</t>
  </si>
  <si>
    <t>ASPHALT CONCRETE PAVEMENT, GYRATORY MIX, 1/2-INCH NOMINAL MAXIMUM SIZE AGGREGATE, &lt;0.3 MILLION ESAL</t>
  </si>
  <si>
    <t>ASPHALT CONCRETE PAVEMENT, GYRATORY MIX, 1/2-INCH NOMINAL MAXIMUM SIZE AGGREGATE, 0.3 TO &lt;3 MILLION ESAL</t>
  </si>
  <si>
    <t>ASPHALT CONCRETE PAVEMENT, GYRATORY MIX, 1/2-INCH NOMINAL MAXIMUM SIZE AGGREGATE, 3 TO &lt;30 MILLION ESAL</t>
  </si>
  <si>
    <t>ASPHALT CONCRETE PAVEMENT, GYRATORY MIX, 3/4-INCH NOMINAL MAXIMUM SIZE AGGREGATE, &lt;0.3 MILLION ESAL</t>
  </si>
  <si>
    <t>ASPHALT CONCRETE PAVEMENT, GYRATORY MIX, 3/4-INCH NOMINAL MAXIMUM SIZE AGGREGATE, 0.3 TO &lt;3 MILLION ESAL</t>
  </si>
  <si>
    <t>ASPHALT CONCRETE PAVEMENT, GYRATORY MIX, 3/4-INCH NOMINAL MAXIMUM SIZE AGGREGATE, 3 TO &lt;30 MILLION ESAL</t>
  </si>
  <si>
    <t>ASPHALT CONCRETE PAVEMENT, GYRATORY MIX, 1-INCH NOMINAL MAXIMUM SIZE AGGREGATE, &lt;0.3 MILLION ESAL</t>
  </si>
  <si>
    <t>ASPHALT CONCRETE PAVEMENT, GYRATORY MIX, 1-INCH NOMINAL MAXIMUM SIZE AGGREGATE, 0.3 TO &lt;3 MILLION ESAL</t>
  </si>
  <si>
    <t>ASPHALT CONCRETE PAVEMENT, GYRATORY MIX, 1-INCH NOMINAL MAXIMUM SIZE AGGREGATE, 3 TO &lt;30 MILLION ESAL</t>
  </si>
  <si>
    <t>ASPHALT CONCRETE PAVEMENT, GYRATORY MIX, 1/2-INCH OR 3/4-INCH NOMINAL MAXIMUM SIZE AGGREGATE, &lt;0.3 MILLION ESAL</t>
  </si>
  <si>
    <t>ASPHALT CONCRETE PAVEMENT, GYRATORY MIX, 1/2-INCH OR 3/4-INCH NOMINAL MAXIMUM SIZE AGGREGATE, 0.3 TO &lt;3 MILLION ESAL</t>
  </si>
  <si>
    <t>ASPHALT CONCRETE PAVEMENT, GYRATORY MIX, 1/2-INCH OR 3/4-INCH NOMINAL MAXIMUM SIZE AGGREGATE, 3 TO &lt;30 MILLION ESAL</t>
  </si>
  <si>
    <t>ASPHALT CONCRETE PAVEMENT, GYRATORY MIX, 3/8-INCH NOMINAL MAXIMUM SIZE AGGREGATE, WEDGE AND LEVELING COURSE</t>
  </si>
  <si>
    <t>ASPHALT CONCRETE PAVEMENT, GYRATORY MIX, 1/2-INCH NOMINAL MAXIMUM SIZE AGGREGATE, WEDGE AND LEVELING COURSE</t>
  </si>
  <si>
    <t>ASPHALT CONCRETE PAVEMENT, GYRATORY MIX, 3/4-INCH NOMINAL MAXIMUM SIZE AGGREGATE, WEDGE AND LEVELING COURSE</t>
  </si>
  <si>
    <t>ASPHALT CONCRETE PAVEMENT, GYRATORY MIX, 1-INCH NOMINAL MAXIMUM SIZE AGGREGATE, WEDGE AND LEVELING COURSE</t>
  </si>
  <si>
    <t>ASPHALT CONCRETE PAVEMENT, GYRATORY MIX, 1/2-INCH OR 3/4-INCH NOMINAL MAXIMUM SIZE AGGREGATE, WEDGE AND LEVELING COURSE</t>
  </si>
  <si>
    <t>40201-0100</t>
  </si>
  <si>
    <t>40201-0200</t>
  </si>
  <si>
    <t>40201-0300</t>
  </si>
  <si>
    <t>40201-2500</t>
  </si>
  <si>
    <t>40201-2600</t>
  </si>
  <si>
    <t>40201-2700</t>
  </si>
  <si>
    <t>40202-0100</t>
  </si>
  <si>
    <t>40202-2500</t>
  </si>
  <si>
    <t>ASPHALT CONCRETE PAVEMENT, MARSHALL MIX, CLASS A</t>
  </si>
  <si>
    <t>ASPHALT CONCRETE PAVEMENT, MARSHALL MIX, CLASS B</t>
  </si>
  <si>
    <t>ASPHALT CONCRETE PAVEMENT, MARSHALL MIX, CLASS C</t>
  </si>
  <si>
    <t>ASPHALT CONCRETE PAVEMENT, HVEEM MIX, CLASS A</t>
  </si>
  <si>
    <t>ASPHALT CONCRETE PAVEMENT, HVEEM MIX, CLASS B</t>
  </si>
  <si>
    <t>ASPHALT CONCRETE PAVEMENT, HVEEM MIX, CLASS C</t>
  </si>
  <si>
    <t>ASPHALT CONCRETE PAVEMENT, MARSHALL MIX, WEDGE AND LEVELING COURSE</t>
  </si>
  <si>
    <t>ASPHALT CONCRETE PAVEMENT, HVEEM MIX, WEDGE AND LEVELING COURSE</t>
  </si>
  <si>
    <t>% Incentive</t>
  </si>
  <si>
    <t>FP Version:</t>
  </si>
  <si>
    <t xml:space="preserve"> (Fill out this form regardless of the project being qualified for incentives or not)</t>
  </si>
  <si>
    <t xml:space="preserve">       Project Name:</t>
  </si>
  <si>
    <t xml:space="preserve">Project Number:  </t>
  </si>
  <si>
    <t xml:space="preserve"> Units:</t>
  </si>
  <si>
    <t>EFLHD - Materials &amp; Roughness Incentives</t>
  </si>
  <si>
    <t>30110-0100</t>
  </si>
  <si>
    <t>30110-0200</t>
  </si>
  <si>
    <t>30110-0300</t>
  </si>
  <si>
    <t>AGGREGATE SURFACE COURSE GRADING F</t>
  </si>
  <si>
    <t>AGGREGATE SURFACE COURSE GRADING G</t>
  </si>
  <si>
    <t>AGGREGATE SURFACE COURSE GRADING H</t>
  </si>
  <si>
    <t>30111-0000</t>
  </si>
  <si>
    <t>30111-0100</t>
  </si>
  <si>
    <t>30111-0200</t>
  </si>
  <si>
    <t>30111-0300</t>
  </si>
  <si>
    <t>30111-0400</t>
  </si>
  <si>
    <t>30111-0500</t>
  </si>
  <si>
    <t>30111-0600</t>
  </si>
  <si>
    <t>30111-0700</t>
  </si>
  <si>
    <t>30111-0800</t>
  </si>
  <si>
    <t>30111-0900</t>
  </si>
  <si>
    <t>30111-1100</t>
  </si>
  <si>
    <t>30111-1200</t>
  </si>
  <si>
    <t>30111-1300</t>
  </si>
  <si>
    <t>30111-1400</t>
  </si>
  <si>
    <t>30111-1500</t>
  </si>
  <si>
    <t>30112-0100</t>
  </si>
  <si>
    <t>30112-0200</t>
  </si>
  <si>
    <t>30112-0300</t>
  </si>
  <si>
    <t>AGGREGATE SURFACE COURSE GRADING F, 4-INCH DEPTH</t>
  </si>
  <si>
    <t>AGGREGATE SURFACE COURSE GRADING F, 6-INCH DEPTH</t>
  </si>
  <si>
    <t>AGGREGATE SURFACE COURSE GRADING F, 8-INCH DEPTH</t>
  </si>
  <si>
    <t>AGGREGATE SURFACE COURSE GRADING F, 10-INCH DEPTH</t>
  </si>
  <si>
    <t>AGGREGATE SURFACE COURSE GRADING F, 12-INCH DEPTH</t>
  </si>
  <si>
    <t>AGGREGATE SURFACE COURSE GRADING G, 4-INCH DEPTH</t>
  </si>
  <si>
    <t>AGGREGATE SURFACE COURSE GRADING G, 6-INCH DEPTH</t>
  </si>
  <si>
    <t>AGGREGATE SURFACE COURSE GRADING G, 8-INCH DEPTH</t>
  </si>
  <si>
    <t>AGGREGATE SURFACE COURSE GRADING G, 10-INCH DEPTH</t>
  </si>
  <si>
    <t>AGGREGATE SURFACE COURSE GRADING G, 12-INCH DEPTH</t>
  </si>
  <si>
    <t>AGGREGATE SURFACE COURSE GRADING H, 4-INCH DEPTH</t>
  </si>
  <si>
    <t>AGGREGATE SURFACE COURSE GRADING H, 6-INCH DEPTH</t>
  </si>
  <si>
    <t>AGGREGATE SURFACE COURSE GRADING H, 8-INCH DEPTH</t>
  </si>
  <si>
    <t>AGGREGATE SURFACE COURSE GRADING H, 10-INCH DEPTH</t>
  </si>
  <si>
    <t>AGGREGATE SURFACE COURSE GRADING H, 12-INCH DEPTH</t>
  </si>
  <si>
    <t>30801-0000</t>
  </si>
  <si>
    <t>30801-1000</t>
  </si>
  <si>
    <t>30801-2000</t>
  </si>
  <si>
    <t>30801-3000</t>
  </si>
  <si>
    <t>30801-4000</t>
  </si>
  <si>
    <t>30802-0000</t>
  </si>
  <si>
    <t>30802-1000</t>
  </si>
  <si>
    <t>30802-2000</t>
  </si>
  <si>
    <t>30802-3000</t>
  </si>
  <si>
    <t>30802-4000</t>
  </si>
  <si>
    <t>30803-0000</t>
  </si>
  <si>
    <t>30803-1000</t>
  </si>
  <si>
    <t>30803-2000</t>
  </si>
  <si>
    <t>30803-3000</t>
  </si>
  <si>
    <t>30803-4000</t>
  </si>
  <si>
    <t>STABILIZED AGGREGATE SURFACE COURSE</t>
  </si>
  <si>
    <t>STABILIZED AGGREGATE SURFACE COURSE, CALCIUM CHLORIDE</t>
  </si>
  <si>
    <t>40401-0000</t>
  </si>
  <si>
    <t>40401-1000</t>
  </si>
  <si>
    <t>40401-2000</t>
  </si>
  <si>
    <t>40402-0000</t>
  </si>
  <si>
    <t>40402-1000</t>
  </si>
  <si>
    <t>40402-2000</t>
  </si>
  <si>
    <t>THIN LIFT ASPHALT CONCRETE PAVEMENT</t>
  </si>
  <si>
    <t>THIN LIFT ASPHALT CONCRETE PAVEMENT, TYPE 1</t>
  </si>
  <si>
    <t>THIN LIFT ASPHALT CONCRETE PAVEMENT, TYPE 2</t>
  </si>
  <si>
    <t>Q_t Unit Price = (Unit Price x (either 0.02, 0.04, 0.05 or 0.06 - incentive depending on the quantity)</t>
  </si>
  <si>
    <t xml:space="preserve">Note 6: </t>
  </si>
  <si>
    <r>
      <t>Materials Incentives (1% Max. Incentive Items)</t>
    </r>
    <r>
      <rPr>
        <b/>
        <vertAlign val="superscript"/>
        <sz val="12"/>
        <color rgb="FFFF0000"/>
        <rFont val="Arial"/>
        <family val="2"/>
      </rPr>
      <t>SEE NOTE 6</t>
    </r>
  </si>
  <si>
    <t>B</t>
  </si>
  <si>
    <t>C</t>
  </si>
  <si>
    <t>D</t>
  </si>
  <si>
    <t>E</t>
  </si>
  <si>
    <t>F</t>
  </si>
  <si>
    <t>30901-0000</t>
  </si>
  <si>
    <t>30901-1000</t>
  </si>
  <si>
    <t>30901-2000</t>
  </si>
  <si>
    <t>30901-3000</t>
  </si>
  <si>
    <t>30901-4000</t>
  </si>
  <si>
    <t>30902-0000</t>
  </si>
  <si>
    <t>30902-1000</t>
  </si>
  <si>
    <t>30902-2000</t>
  </si>
  <si>
    <t>30902-3000</t>
  </si>
  <si>
    <t>30902-4000</t>
  </si>
  <si>
    <t>30903-0000</t>
  </si>
  <si>
    <t>30903-1000</t>
  </si>
  <si>
    <t>30903-2000</t>
  </si>
  <si>
    <t>30903-3000</t>
  </si>
  <si>
    <t>30903-4000</t>
  </si>
  <si>
    <t>43101-0000</t>
  </si>
  <si>
    <t>43102-0000</t>
  </si>
  <si>
    <r>
      <rPr>
        <b/>
        <u/>
        <sz val="11"/>
        <color theme="1"/>
        <rFont val="Times New Roman"/>
        <family val="1"/>
      </rPr>
      <t>Purpose:</t>
    </r>
    <r>
      <rPr>
        <u/>
        <sz val="11"/>
        <color theme="1"/>
        <rFont val="Times New Roman"/>
        <family val="1"/>
      </rPr>
      <t xml:space="preserve">  </t>
    </r>
    <r>
      <rPr>
        <sz val="11"/>
        <color theme="1"/>
        <rFont val="Times New Roman"/>
        <family val="1"/>
      </rPr>
      <t xml:space="preserve">
Use for calculating the material incentives for pay items that currently allow for incentives to be made.
</t>
    </r>
    <r>
      <rPr>
        <b/>
        <sz val="11"/>
        <color rgb="FFFF0000"/>
        <rFont val="Times New Roman"/>
        <family val="1"/>
      </rPr>
      <t>The spreasheet must be completed and submitted regardless of a project being qualified for incentives or not.</t>
    </r>
    <r>
      <rPr>
        <sz val="11"/>
        <color theme="1"/>
        <rFont val="Times New Roman"/>
        <family val="1"/>
      </rPr>
      <t xml:space="preserve"> 
- Fill out the yellow box to the right of the Instructions. The information provided will self populate on the individual sheets.
- Start with "Sch A" sheet and continue as needed for all schedules.  </t>
    </r>
    <r>
      <rPr>
        <b/>
        <sz val="11"/>
        <color theme="1"/>
        <rFont val="Times New Roman"/>
        <family val="1"/>
      </rPr>
      <t xml:space="preserve">Each Schedule needs a separate incentive sheet.  
</t>
    </r>
    <r>
      <rPr>
        <sz val="11"/>
        <color theme="1"/>
        <rFont val="Times New Roman"/>
        <family val="1"/>
      </rPr>
      <t>- Select Schedule type (Schedule or Option) and Schedule Letter (A, B, C, etc..) in each "SCH..." tab.</t>
    </r>
  </si>
  <si>
    <r>
      <t xml:space="preserve">Acquisition Incentive Summary tab:
</t>
    </r>
    <r>
      <rPr>
        <sz val="11"/>
        <color theme="1"/>
        <rFont val="Times New Roman"/>
        <family val="1"/>
      </rPr>
      <t xml:space="preserve">This tab is to be completed by Acquisitions. It allows for ACQ specialist to fill out the incentives and adjustments for the awarded bids to ensure enough funds are obligated on the PR. 
</t>
    </r>
    <r>
      <rPr>
        <b/>
        <sz val="11"/>
        <color theme="1"/>
        <rFont val="Times New Roman"/>
        <family val="1"/>
      </rPr>
      <t>Bid Amount:</t>
    </r>
    <r>
      <rPr>
        <sz val="11"/>
        <color theme="1"/>
        <rFont val="Times New Roman"/>
        <family val="1"/>
      </rPr>
      <t xml:space="preserve"> is the final awarded amount from the bid opening.
</t>
    </r>
    <r>
      <rPr>
        <b/>
        <sz val="11"/>
        <color theme="1"/>
        <rFont val="Times New Roman"/>
        <family val="1"/>
      </rPr>
      <t>15401 Gov. Lab Trailer</t>
    </r>
    <r>
      <rPr>
        <sz val="11"/>
        <color theme="1"/>
        <rFont val="Times New Roman"/>
        <family val="1"/>
      </rPr>
      <t xml:space="preserve"> - is to allow for the rental of the Government Laboratory Trailer. Work with COE and Construction Branch for Lab Trailer costs and SCR 154 when needed to account for this if necessary.</t>
    </r>
  </si>
  <si>
    <t xml:space="preserve">PF = $0.05/sqyd for 4.75 JMF Thin Lift, Or </t>
  </si>
  <si>
    <t>PF = $0.08/sqyd for 905 JMF Thin Lift</t>
  </si>
  <si>
    <t xml:space="preserve">Incentive Amt </t>
  </si>
  <si>
    <t xml:space="preserve">For pay items measured by the ton: Q_t Unit Price = (Unit Price x 0.01) and Incentive Amt = Quantity (ton) x Q_Ton Unit Price. </t>
  </si>
  <si>
    <t xml:space="preserve">P.S. for 431 and 404 pay items, the "Incentive Amt" will only be calculated if the amount is greater than or equal to $1000. </t>
  </si>
  <si>
    <t>.</t>
  </si>
  <si>
    <t>PF = $0.05 per sqyd for 4.75 JMF Thin Lift, or</t>
  </si>
  <si>
    <t>FP = $0.08 per sqyd for 9.5 JMF Thin Lift</t>
  </si>
  <si>
    <t>EFL-TM-ESS-01(13)</t>
  </si>
  <si>
    <r>
      <rPr>
        <b/>
        <u/>
        <sz val="11"/>
        <color theme="1"/>
        <rFont val="Times New Roman"/>
        <family val="1"/>
      </rPr>
      <t>Incentives Sheets (Schedule Tabs) &amp; Input Sheets (InputSch Tabs):</t>
    </r>
    <r>
      <rPr>
        <sz val="11"/>
        <color theme="1"/>
        <rFont val="Times New Roman"/>
        <family val="1"/>
      </rPr>
      <t xml:space="preserve">
- Each "SCH..." tab consists of Materials Incentives and Roughness Incentives Sections.
- Read Notes 1 through 6 for the minimum treshholds for which the Materials and Roughness Incentives are warranted on the project and for additional information. 
- Select pay items, and enter quantities and unit prices in "SCH..." tab for each schedule.
</t>
    </r>
    <r>
      <rPr>
        <sz val="11"/>
        <color rgb="FF00B0F0"/>
        <rFont val="Times New Roman"/>
        <family val="1"/>
      </rPr>
      <t>- If the "Q_Ton_Unit_Price" cell highlights in red, that means enough information is not known to complete the calculation.  Please ensure quantity and unit price are entered in the correct cell, or visit the "InputSch..." tab to review the pay item and follow the instructions to add any missing information.</t>
    </r>
    <r>
      <rPr>
        <sz val="11"/>
        <color theme="1"/>
        <rFont val="Times New Roman"/>
        <family val="1"/>
      </rPr>
      <t xml:space="preserve"> 
</t>
    </r>
    <r>
      <rPr>
        <sz val="11"/>
        <color rgb="FF00B0F0"/>
        <rFont val="Times New Roman"/>
        <family val="1"/>
      </rPr>
      <t>- If using the same pay item more than once, go into the inputSch tab and copy the row of the existing pay item and then insert a duplicate row.  Then provide a unique pay item number to each.  Such as 30101-3000 would become 30101-3000A and 30101-3000B</t>
    </r>
    <r>
      <rPr>
        <sz val="11"/>
        <color theme="1"/>
        <rFont val="Times New Roman"/>
        <family val="1"/>
      </rPr>
      <t xml:space="preserve">
- See additional instructions in "InputSch..." tabs for pay items that do not have a formula set up if applicable to the project, or work with the PDMA. 
</t>
    </r>
    <r>
      <rPr>
        <b/>
        <sz val="11"/>
        <color theme="1"/>
        <rFont val="Times New Roman"/>
        <family val="1"/>
      </rPr>
      <t xml:space="preserve">- % Incentives &amp; Incentives unit price (Q_Ton Unit Price): </t>
    </r>
    <r>
      <rPr>
        <sz val="11"/>
        <color theme="1"/>
        <rFont val="Times New Roman"/>
        <family val="1"/>
      </rPr>
      <t xml:space="preserve"> The incentive unit price (Q_t Unit Proce) and percentage (% Incentive) are based on the pay item quantity. </t>
    </r>
    <r>
      <rPr>
        <b/>
        <sz val="11"/>
        <color rgb="FF00B050"/>
        <rFont val="Times New Roman"/>
        <family val="1"/>
      </rPr>
      <t>Input the calculated "Incentive Amt" as a LPSM into MasterWorks.</t>
    </r>
    <r>
      <rPr>
        <sz val="11"/>
        <color theme="1"/>
        <rFont val="Times New Roman"/>
        <family val="1"/>
      </rPr>
      <t xml:space="preserve">
- </t>
    </r>
    <r>
      <rPr>
        <b/>
        <sz val="11"/>
        <color theme="1"/>
        <rFont val="Times New Roman"/>
        <family val="1"/>
      </rPr>
      <t>Materials and Roughness Incentive</t>
    </r>
    <r>
      <rPr>
        <sz val="11"/>
        <color theme="1"/>
        <rFont val="Times New Roman"/>
        <family val="1"/>
      </rPr>
      <t xml:space="preserve"> percentages are set based on the Specifications and are set per Item. The notes on the page show how the unit prices and the Incentive Amounts are calculated.
- The FP is automatically loaded and the materials incentives are corrected for the approperiate pay item numbers and calculations, so do not adjust the calculations or factors.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</si>
</sst>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164" formatCode="&quot;$&quot;#,##0.00"/>
    <numFmt numFmtId="165" formatCode="#,##0.000"/>
    <numFmt numFmtId="166" formatCode="&quot;Rev. &quot;m/d/yyyy"/>
    <numFmt numFmtId="167" formatCode="#,##0.0"/>
    <numFmt numFmtId="168" formatCode="0.0%"/>
  </numFmts>
  <fonts count="42" x14ac:knownFonts="1">
    <font>
      <sz val="11"/>
      <color theme="1"/>
      <name val="Calibri"/>
      <family val="2"/>
      <scheme val="minor"/>
    </font>
    <font>
      <sz val="11"/>
      <color theme="1"/>
      <name val="Calibri"/>
      <family val="2"/>
      <scheme val="minor"/>
    </font>
    <font>
      <sz val="12"/>
      <color theme="1"/>
      <name val="Arial"/>
      <family val="2"/>
    </font>
    <font>
      <b/>
      <sz val="10"/>
      <color theme="1"/>
      <name val="Arial"/>
      <family val="2"/>
    </font>
    <font>
      <sz val="10"/>
      <color theme="1"/>
      <name val="Arial"/>
      <family val="2"/>
    </font>
    <font>
      <sz val="10"/>
      <name val="Arial"/>
      <family val="2"/>
    </font>
    <font>
      <sz val="6"/>
      <color theme="1"/>
      <name val="Arial"/>
      <family val="2"/>
    </font>
    <font>
      <b/>
      <sz val="14"/>
      <color theme="1"/>
      <name val="Arial"/>
      <family val="2"/>
    </font>
    <font>
      <sz val="10"/>
      <color rgb="FFFF0000"/>
      <name val="Arial"/>
      <family val="2"/>
    </font>
    <font>
      <b/>
      <sz val="10"/>
      <name val="Arial"/>
      <family val="2"/>
    </font>
    <font>
      <sz val="8"/>
      <color theme="1"/>
      <name val="Arial"/>
      <family val="2"/>
    </font>
    <font>
      <b/>
      <sz val="11"/>
      <color theme="1"/>
      <name val="Calibri"/>
      <family val="2"/>
      <scheme val="minor"/>
    </font>
    <font>
      <sz val="8"/>
      <name val="Arial"/>
      <family val="2"/>
    </font>
    <font>
      <sz val="9"/>
      <name val="Arial"/>
      <family val="2"/>
    </font>
    <font>
      <sz val="7"/>
      <name val="Arial"/>
      <family val="2"/>
    </font>
    <font>
      <sz val="9"/>
      <color theme="1"/>
      <name val="Arial"/>
      <family val="2"/>
    </font>
    <font>
      <b/>
      <sz val="9"/>
      <color theme="1"/>
      <name val="Arial"/>
      <family val="2"/>
    </font>
    <font>
      <sz val="11"/>
      <color rgb="FFFF0000"/>
      <name val="Calibri"/>
      <family val="2"/>
      <scheme val="minor"/>
    </font>
    <font>
      <b/>
      <sz val="9"/>
      <name val="Arial"/>
      <family val="2"/>
    </font>
    <font>
      <b/>
      <sz val="10"/>
      <color rgb="FFFF0000"/>
      <name val="Arial"/>
      <family val="2"/>
    </font>
    <font>
      <sz val="11"/>
      <name val="Calibri"/>
      <family val="2"/>
      <scheme val="minor"/>
    </font>
    <font>
      <sz val="9"/>
      <color indexed="81"/>
      <name val="Tahoma"/>
      <family val="2"/>
    </font>
    <font>
      <b/>
      <sz val="9"/>
      <color indexed="81"/>
      <name val="Tahoma"/>
      <family val="2"/>
    </font>
    <font>
      <b/>
      <sz val="11"/>
      <name val="Arial"/>
      <family val="2"/>
    </font>
    <font>
      <sz val="7"/>
      <color theme="1"/>
      <name val="Arial"/>
      <family val="2"/>
    </font>
    <font>
      <sz val="8"/>
      <color rgb="FFFF0000"/>
      <name val="Arial"/>
      <family val="2"/>
    </font>
    <font>
      <b/>
      <vertAlign val="superscript"/>
      <sz val="12"/>
      <color rgb="FFFF0000"/>
      <name val="Arial"/>
      <family val="2"/>
    </font>
    <font>
      <sz val="10"/>
      <color theme="1"/>
      <name val="Arial Narrow"/>
      <family val="2"/>
    </font>
    <font>
      <b/>
      <sz val="10"/>
      <color theme="0"/>
      <name val="Arial Narrow"/>
      <family val="2"/>
    </font>
    <font>
      <sz val="10"/>
      <color indexed="8"/>
      <name val="Arial Narrow"/>
      <family val="2"/>
    </font>
    <font>
      <sz val="11"/>
      <color theme="1"/>
      <name val="Times New Roman"/>
      <family val="1"/>
    </font>
    <font>
      <b/>
      <sz val="16"/>
      <color theme="1"/>
      <name val="Times New Roman"/>
      <family val="1"/>
    </font>
    <font>
      <b/>
      <sz val="10"/>
      <name val="Verdana"/>
      <family val="2"/>
    </font>
    <font>
      <b/>
      <u/>
      <sz val="11"/>
      <color theme="1"/>
      <name val="Times New Roman"/>
      <family val="1"/>
    </font>
    <font>
      <u/>
      <sz val="11"/>
      <color theme="1"/>
      <name val="Times New Roman"/>
      <family val="1"/>
    </font>
    <font>
      <b/>
      <sz val="11"/>
      <color rgb="FFFF0000"/>
      <name val="Times New Roman"/>
      <family val="1"/>
    </font>
    <font>
      <b/>
      <sz val="11"/>
      <color theme="1"/>
      <name val="Times New Roman"/>
      <family val="1"/>
    </font>
    <font>
      <sz val="11"/>
      <color rgb="FF00B0F0"/>
      <name val="Times New Roman"/>
      <family val="1"/>
    </font>
    <font>
      <sz val="9"/>
      <color indexed="81"/>
      <name val="Tahoma"/>
      <charset val="1"/>
    </font>
    <font>
      <b/>
      <sz val="9"/>
      <color indexed="81"/>
      <name val="Tahoma"/>
      <charset val="1"/>
    </font>
    <font>
      <sz val="10"/>
      <color rgb="FF000000"/>
      <name val="Arial Narrow"/>
      <family val="2"/>
    </font>
    <font>
      <b/>
      <sz val="11"/>
      <color rgb="FF00B050"/>
      <name val="Times New Roman"/>
      <family val="1"/>
    </font>
  </fonts>
  <fills count="19">
    <fill>
      <patternFill patternType="none"/>
    </fill>
    <fill>
      <patternFill patternType="gray125"/>
    </fill>
    <fill>
      <patternFill patternType="solid">
        <fgColor theme="2" tint="-9.9948118533890809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DDD9C4"/>
        <bgColor indexed="64"/>
      </patternFill>
    </fill>
    <fill>
      <patternFill patternType="solid">
        <fgColor rgb="FFD9D9D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8" tint="0.39997558519241921"/>
        <bgColor theme="4"/>
      </patternFill>
    </fill>
    <fill>
      <patternFill patternType="solid">
        <fgColor rgb="FFEAEAEA"/>
        <bgColor rgb="FFD9D9D9"/>
      </patternFill>
    </fill>
    <fill>
      <patternFill patternType="solid">
        <fgColor rgb="FFFFC000"/>
        <bgColor rgb="FFD9D9D9"/>
      </patternFill>
    </fill>
    <fill>
      <patternFill patternType="solid">
        <fgColor rgb="FFFFC000"/>
        <bgColor indexed="64"/>
      </patternFill>
    </fill>
    <fill>
      <patternFill patternType="solid">
        <fgColor rgb="FFFFC000"/>
        <bgColor theme="0" tint="-0.14999847407452621"/>
      </patternFill>
    </fill>
  </fills>
  <borders count="28">
    <border>
      <left/>
      <right/>
      <top/>
      <bottom/>
      <diagonal/>
    </border>
    <border>
      <left/>
      <right/>
      <top/>
      <bottom style="double">
        <color auto="1"/>
      </bottom>
      <diagonal/>
    </border>
    <border>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right/>
      <top style="double">
        <color auto="1"/>
      </top>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indexed="64"/>
      </left>
      <right/>
      <top/>
      <bottom style="medium">
        <color auto="1"/>
      </bottom>
      <diagonal/>
    </border>
  </borders>
  <cellStyleXfs count="4">
    <xf numFmtId="0" fontId="0" fillId="0" borderId="0"/>
    <xf numFmtId="0" fontId="1" fillId="2" borderId="0"/>
    <xf numFmtId="0" fontId="4" fillId="0" borderId="0"/>
    <xf numFmtId="0" fontId="5" fillId="0" borderId="0"/>
  </cellStyleXfs>
  <cellXfs count="306">
    <xf numFmtId="0" fontId="0" fillId="0" borderId="0" xfId="0"/>
    <xf numFmtId="164" fontId="3" fillId="3" borderId="0" xfId="0" applyNumberFormat="1" applyFont="1" applyFill="1" applyAlignment="1" applyProtection="1">
      <alignment horizontal="left"/>
      <protection locked="0"/>
    </xf>
    <xf numFmtId="164" fontId="3" fillId="3" borderId="0" xfId="0" applyNumberFormat="1" applyFont="1" applyFill="1" applyProtection="1">
      <protection locked="0"/>
    </xf>
    <xf numFmtId="3" fontId="3" fillId="3" borderId="0" xfId="0" applyNumberFormat="1" applyFont="1" applyFill="1" applyAlignment="1" applyProtection="1">
      <alignment horizontal="center"/>
      <protection locked="0"/>
    </xf>
    <xf numFmtId="164" fontId="3" fillId="3" borderId="0" xfId="0" applyNumberFormat="1" applyFont="1" applyFill="1" applyAlignment="1" applyProtection="1">
      <alignment horizontal="center"/>
      <protection locked="0"/>
    </xf>
    <xf numFmtId="165" fontId="3" fillId="3" borderId="0" xfId="0" applyNumberFormat="1" applyFont="1" applyFill="1" applyAlignment="1" applyProtection="1">
      <alignment horizontal="center"/>
      <protection locked="0"/>
    </xf>
    <xf numFmtId="0" fontId="4" fillId="6" borderId="0" xfId="0" applyFont="1" applyFill="1" applyProtection="1"/>
    <xf numFmtId="0" fontId="4" fillId="0" borderId="0" xfId="0" applyFont="1" applyFill="1" applyProtection="1"/>
    <xf numFmtId="3" fontId="4" fillId="0" borderId="0" xfId="0" applyNumberFormat="1" applyFont="1" applyFill="1" applyProtection="1"/>
    <xf numFmtId="164" fontId="4" fillId="0" borderId="0" xfId="0" applyNumberFormat="1" applyFont="1" applyFill="1" applyProtection="1"/>
    <xf numFmtId="3" fontId="8" fillId="0" borderId="0" xfId="0" applyNumberFormat="1" applyFont="1" applyFill="1" applyProtection="1"/>
    <xf numFmtId="0" fontId="4" fillId="0" borderId="0" xfId="0" applyFont="1" applyFill="1" applyAlignment="1" applyProtection="1">
      <alignment horizontal="right"/>
    </xf>
    <xf numFmtId="3" fontId="3" fillId="0" borderId="0" xfId="0" applyNumberFormat="1" applyFont="1" applyFill="1" applyProtection="1"/>
    <xf numFmtId="164" fontId="3" fillId="0" borderId="0" xfId="0" applyNumberFormat="1" applyFont="1" applyFill="1" applyProtection="1"/>
    <xf numFmtId="164" fontId="4" fillId="0" borderId="0" xfId="0" applyNumberFormat="1" applyFont="1" applyFill="1" applyAlignment="1" applyProtection="1">
      <alignment horizontal="right"/>
    </xf>
    <xf numFmtId="14" fontId="4" fillId="0" borderId="0" xfId="0" applyNumberFormat="1" applyFont="1" applyFill="1" applyAlignment="1" applyProtection="1">
      <alignment horizontal="left"/>
    </xf>
    <xf numFmtId="0" fontId="3" fillId="0" borderId="0" xfId="0" applyFont="1" applyFill="1" applyBorder="1" applyAlignment="1" applyProtection="1">
      <alignment horizontal="left"/>
    </xf>
    <xf numFmtId="164" fontId="3" fillId="0" borderId="0" xfId="0" applyNumberFormat="1" applyFont="1" applyFill="1" applyAlignment="1" applyProtection="1">
      <alignment horizontal="left"/>
    </xf>
    <xf numFmtId="0" fontId="4" fillId="0" borderId="0" xfId="0" applyFont="1" applyFill="1" applyBorder="1" applyAlignment="1" applyProtection="1">
      <alignment horizontal="center"/>
    </xf>
    <xf numFmtId="0" fontId="4" fillId="0" borderId="1" xfId="0" applyFont="1" applyFill="1" applyBorder="1" applyAlignment="1" applyProtection="1">
      <alignment horizontal="center"/>
    </xf>
    <xf numFmtId="0" fontId="4" fillId="0" borderId="1" xfId="0" applyFont="1" applyFill="1" applyBorder="1" applyAlignment="1" applyProtection="1">
      <alignment horizontal="left"/>
    </xf>
    <xf numFmtId="164" fontId="4" fillId="0" borderId="1" xfId="0" applyNumberFormat="1" applyFont="1" applyFill="1" applyBorder="1" applyAlignment="1" applyProtection="1">
      <alignment horizontal="center"/>
    </xf>
    <xf numFmtId="3" fontId="4" fillId="0" borderId="1" xfId="0" applyNumberFormat="1" applyFont="1" applyFill="1" applyBorder="1" applyAlignment="1" applyProtection="1">
      <alignment horizontal="center"/>
    </xf>
    <xf numFmtId="0" fontId="4" fillId="0" borderId="0" xfId="0" applyFont="1" applyFill="1" applyAlignment="1" applyProtection="1">
      <alignment horizontal="center"/>
    </xf>
    <xf numFmtId="0" fontId="4" fillId="0" borderId="0" xfId="0" applyFont="1" applyFill="1" applyAlignment="1" applyProtection="1">
      <alignment horizontal="left"/>
    </xf>
    <xf numFmtId="3" fontId="3" fillId="0" borderId="0" xfId="0" applyNumberFormat="1" applyFont="1" applyFill="1" applyAlignment="1" applyProtection="1">
      <alignment horizontal="center"/>
    </xf>
    <xf numFmtId="164" fontId="4" fillId="0" borderId="0" xfId="0" applyNumberFormat="1" applyFont="1" applyFill="1" applyAlignment="1" applyProtection="1">
      <alignment horizontal="center"/>
    </xf>
    <xf numFmtId="164" fontId="3" fillId="0" borderId="0" xfId="0" applyNumberFormat="1" applyFont="1" applyFill="1" applyAlignment="1" applyProtection="1">
      <alignment horizontal="center"/>
    </xf>
    <xf numFmtId="0" fontId="4" fillId="6" borderId="0" xfId="0" applyFont="1" applyFill="1" applyAlignment="1" applyProtection="1"/>
    <xf numFmtId="164" fontId="9" fillId="0" borderId="0" xfId="0" applyNumberFormat="1" applyFont="1" applyFill="1" applyAlignment="1" applyProtection="1">
      <alignment horizontal="center"/>
    </xf>
    <xf numFmtId="0" fontId="5" fillId="6" borderId="0" xfId="0" applyFont="1" applyFill="1" applyProtection="1"/>
    <xf numFmtId="0" fontId="5" fillId="0" borderId="0" xfId="0" applyFont="1" applyFill="1" applyAlignment="1" applyProtection="1">
      <alignment horizontal="right"/>
    </xf>
    <xf numFmtId="164" fontId="5" fillId="0" borderId="0" xfId="0" applyNumberFormat="1" applyFont="1" applyFill="1" applyAlignment="1" applyProtection="1">
      <alignment horizontal="center"/>
    </xf>
    <xf numFmtId="165" fontId="3" fillId="0" borderId="0" xfId="0" applyNumberFormat="1" applyFont="1" applyFill="1" applyAlignment="1" applyProtection="1">
      <alignment horizontal="center"/>
    </xf>
    <xf numFmtId="164" fontId="9" fillId="0" borderId="0" xfId="2" applyNumberFormat="1" applyFont="1" applyFill="1" applyAlignment="1" applyProtection="1">
      <alignment horizontal="center"/>
    </xf>
    <xf numFmtId="166" fontId="6" fillId="0" borderId="0" xfId="2" applyNumberFormat="1" applyFont="1" applyFill="1" applyAlignment="1" applyProtection="1">
      <alignment horizontal="center"/>
    </xf>
    <xf numFmtId="0" fontId="6" fillId="0" borderId="0" xfId="2" applyFont="1" applyFill="1" applyAlignment="1" applyProtection="1">
      <alignment horizontal="center"/>
    </xf>
    <xf numFmtId="3" fontId="4" fillId="6" borderId="0" xfId="0" applyNumberFormat="1" applyFont="1" applyFill="1" applyProtection="1"/>
    <xf numFmtId="164" fontId="4" fillId="6" borderId="0" xfId="0" applyNumberFormat="1" applyFont="1" applyFill="1" applyProtection="1"/>
    <xf numFmtId="0" fontId="10" fillId="0" borderId="0" xfId="0" applyFont="1" applyFill="1" applyAlignment="1" applyProtection="1">
      <alignment horizontal="right"/>
    </xf>
    <xf numFmtId="0" fontId="10" fillId="0" borderId="0" xfId="0" applyFont="1" applyFill="1" applyProtection="1"/>
    <xf numFmtId="0" fontId="3" fillId="7" borderId="0" xfId="0" applyFont="1" applyFill="1" applyBorder="1" applyAlignment="1" applyProtection="1">
      <alignment horizontal="left"/>
      <protection locked="0"/>
    </xf>
    <xf numFmtId="3" fontId="3" fillId="7" borderId="0" xfId="0" applyNumberFormat="1" applyFont="1" applyFill="1" applyProtection="1">
      <protection locked="0"/>
    </xf>
    <xf numFmtId="0" fontId="17" fillId="0" borderId="0" xfId="0" applyFont="1"/>
    <xf numFmtId="0" fontId="0" fillId="8" borderId="6" xfId="0" applyFill="1" applyBorder="1" applyAlignment="1">
      <alignment horizontal="center" vertical="center"/>
    </xf>
    <xf numFmtId="0" fontId="10" fillId="9" borderId="0" xfId="0" applyFont="1" applyFill="1" applyBorder="1" applyAlignment="1" applyProtection="1">
      <alignment horizontal="left"/>
    </xf>
    <xf numFmtId="0" fontId="12" fillId="9" borderId="0" xfId="0" applyFont="1" applyFill="1" applyBorder="1" applyAlignment="1" applyProtection="1">
      <alignment horizontal="left"/>
    </xf>
    <xf numFmtId="0" fontId="17" fillId="0" borderId="0" xfId="0" applyFont="1" applyFill="1"/>
    <xf numFmtId="0" fontId="13" fillId="9" borderId="12" xfId="0" applyFont="1" applyFill="1" applyBorder="1" applyAlignment="1" applyProtection="1">
      <alignment horizontal="center"/>
    </xf>
    <xf numFmtId="0" fontId="12" fillId="9" borderId="7" xfId="0" applyFont="1" applyFill="1" applyBorder="1" applyAlignment="1" applyProtection="1">
      <alignment horizontal="left"/>
    </xf>
    <xf numFmtId="0" fontId="0" fillId="9" borderId="7" xfId="0" applyFill="1" applyBorder="1"/>
    <xf numFmtId="0" fontId="0" fillId="9" borderId="7" xfId="0" applyFill="1" applyBorder="1" applyAlignment="1">
      <alignment horizontal="center"/>
    </xf>
    <xf numFmtId="0" fontId="0" fillId="9" borderId="13" xfId="0" applyFill="1" applyBorder="1"/>
    <xf numFmtId="0" fontId="13" fillId="9" borderId="10" xfId="0" applyFont="1" applyFill="1" applyBorder="1" applyAlignment="1" applyProtection="1">
      <alignment horizontal="center"/>
    </xf>
    <xf numFmtId="0" fontId="0" fillId="9" borderId="0" xfId="0" applyFill="1" applyBorder="1"/>
    <xf numFmtId="0" fontId="0" fillId="9" borderId="11" xfId="0" applyFill="1" applyBorder="1"/>
    <xf numFmtId="0" fontId="13" fillId="0" borderId="12" xfId="0" applyFont="1" applyFill="1" applyBorder="1" applyAlignment="1" applyProtection="1">
      <alignment horizontal="center"/>
    </xf>
    <xf numFmtId="0" fontId="12" fillId="0" borderId="7" xfId="0" applyFont="1" applyFill="1" applyBorder="1" applyAlignment="1" applyProtection="1">
      <alignment horizontal="left"/>
    </xf>
    <xf numFmtId="0" fontId="0" fillId="10" borderId="6" xfId="0" applyFill="1" applyBorder="1"/>
    <xf numFmtId="0" fontId="0" fillId="10" borderId="9" xfId="0" applyFill="1" applyBorder="1"/>
    <xf numFmtId="0" fontId="0" fillId="10" borderId="0" xfId="0" applyFill="1" applyBorder="1"/>
    <xf numFmtId="0" fontId="0" fillId="10" borderId="11" xfId="0" applyFill="1" applyBorder="1"/>
    <xf numFmtId="0" fontId="3" fillId="8" borderId="8" xfId="0" applyFont="1" applyFill="1" applyBorder="1" applyAlignment="1" applyProtection="1">
      <alignment horizontal="left"/>
    </xf>
    <xf numFmtId="0" fontId="0" fillId="8" borderId="6" xfId="0" applyFill="1" applyBorder="1"/>
    <xf numFmtId="0" fontId="0" fillId="8" borderId="6" xfId="0" applyFill="1" applyBorder="1" applyAlignment="1">
      <alignment horizontal="center"/>
    </xf>
    <xf numFmtId="0" fontId="0" fillId="8" borderId="9" xfId="0" applyFill="1" applyBorder="1"/>
    <xf numFmtId="2" fontId="10" fillId="8" borderId="10" xfId="0" applyNumberFormat="1" applyFont="1" applyFill="1" applyBorder="1" applyAlignment="1" applyProtection="1">
      <alignment horizontal="center"/>
    </xf>
    <xf numFmtId="0" fontId="10" fillId="8" borderId="0" xfId="0" applyFont="1" applyFill="1" applyBorder="1" applyAlignment="1" applyProtection="1">
      <alignment horizontal="left"/>
    </xf>
    <xf numFmtId="0" fontId="0" fillId="8" borderId="0" xfId="0" applyFill="1" applyBorder="1"/>
    <xf numFmtId="0" fontId="0" fillId="8" borderId="0" xfId="0" applyFill="1" applyBorder="1" applyAlignment="1">
      <alignment horizontal="center"/>
    </xf>
    <xf numFmtId="0" fontId="0" fillId="8" borderId="11" xfId="0" applyFill="1" applyBorder="1"/>
    <xf numFmtId="0" fontId="11" fillId="8" borderId="8" xfId="0" applyFont="1" applyFill="1" applyBorder="1"/>
    <xf numFmtId="0" fontId="10" fillId="8" borderId="10" xfId="0" applyFont="1" applyFill="1" applyBorder="1"/>
    <xf numFmtId="0" fontId="10" fillId="8" borderId="0" xfId="0" applyFont="1" applyFill="1" applyBorder="1"/>
    <xf numFmtId="0" fontId="10" fillId="8" borderId="12" xfId="0" applyFont="1" applyFill="1" applyBorder="1"/>
    <xf numFmtId="0" fontId="10" fillId="8" borderId="7" xfId="0" applyFont="1" applyFill="1" applyBorder="1"/>
    <xf numFmtId="0" fontId="0" fillId="8" borderId="7" xfId="0" applyFill="1" applyBorder="1"/>
    <xf numFmtId="0" fontId="0" fillId="8" borderId="7" xfId="0" applyFill="1" applyBorder="1" applyAlignment="1">
      <alignment horizontal="center"/>
    </xf>
    <xf numFmtId="0" fontId="0" fillId="8" borderId="13" xfId="0" applyFill="1" applyBorder="1"/>
    <xf numFmtId="0" fontId="16" fillId="8" borderId="8" xfId="0" applyFont="1" applyFill="1" applyBorder="1" applyAlignment="1" applyProtection="1">
      <alignment horizontal="left"/>
    </xf>
    <xf numFmtId="0" fontId="4" fillId="8" borderId="6" xfId="0" applyFont="1" applyFill="1" applyBorder="1" applyAlignment="1" applyProtection="1">
      <alignment horizontal="left"/>
    </xf>
    <xf numFmtId="0" fontId="15" fillId="8" borderId="10" xfId="0" applyFont="1" applyFill="1" applyBorder="1" applyAlignment="1" applyProtection="1">
      <alignment horizontal="center"/>
    </xf>
    <xf numFmtId="0" fontId="0" fillId="8" borderId="0" xfId="0" applyFill="1" applyBorder="1" applyAlignment="1">
      <alignment horizontal="center" vertical="center"/>
    </xf>
    <xf numFmtId="0" fontId="18" fillId="8" borderId="4" xfId="0" applyFont="1" applyFill="1" applyBorder="1" applyAlignment="1" applyProtection="1">
      <alignment horizontal="left"/>
    </xf>
    <xf numFmtId="0" fontId="5" fillId="8" borderId="5" xfId="0" applyFont="1" applyFill="1" applyBorder="1" applyAlignment="1" applyProtection="1">
      <alignment horizontal="left"/>
    </xf>
    <xf numFmtId="0" fontId="13" fillId="8" borderId="10" xfId="0" applyFont="1" applyFill="1" applyBorder="1" applyAlignment="1" applyProtection="1">
      <alignment horizontal="center"/>
    </xf>
    <xf numFmtId="0" fontId="12" fillId="8" borderId="0" xfId="0" applyFont="1" applyFill="1" applyBorder="1" applyAlignment="1" applyProtection="1">
      <alignment horizontal="left"/>
    </xf>
    <xf numFmtId="2" fontId="10" fillId="9" borderId="12" xfId="0" applyNumberFormat="1" applyFont="1" applyFill="1" applyBorder="1" applyAlignment="1" applyProtection="1">
      <alignment horizontal="center"/>
    </xf>
    <xf numFmtId="0" fontId="10" fillId="9" borderId="7" xfId="0" applyFont="1" applyFill="1" applyBorder="1" applyAlignment="1" applyProtection="1">
      <alignment horizontal="left"/>
    </xf>
    <xf numFmtId="0" fontId="14" fillId="9" borderId="7" xfId="3" applyFont="1" applyFill="1" applyBorder="1" applyAlignment="1">
      <alignment vertical="center"/>
    </xf>
    <xf numFmtId="0" fontId="5" fillId="8" borderId="6" xfId="0" applyFont="1" applyFill="1" applyBorder="1" applyAlignment="1" applyProtection="1">
      <alignment horizontal="left"/>
    </xf>
    <xf numFmtId="0" fontId="14" fillId="8" borderId="6" xfId="3" applyFont="1" applyFill="1" applyBorder="1" applyAlignment="1">
      <alignment vertical="center"/>
    </xf>
    <xf numFmtId="0" fontId="14" fillId="8" borderId="0" xfId="3" applyFont="1" applyFill="1" applyBorder="1" applyAlignment="1">
      <alignment vertical="center"/>
    </xf>
    <xf numFmtId="0" fontId="10" fillId="9" borderId="10" xfId="0" applyFont="1" applyFill="1" applyBorder="1"/>
    <xf numFmtId="0" fontId="10" fillId="9" borderId="0" xfId="0" applyFont="1" applyFill="1" applyBorder="1"/>
    <xf numFmtId="0" fontId="0" fillId="9" borderId="0" xfId="0" applyFill="1" applyBorder="1" applyAlignment="1">
      <alignment horizontal="center"/>
    </xf>
    <xf numFmtId="0" fontId="15" fillId="9" borderId="12" xfId="0" applyFont="1" applyFill="1" applyBorder="1" applyAlignment="1" applyProtection="1">
      <alignment horizontal="center"/>
    </xf>
    <xf numFmtId="0" fontId="0" fillId="9" borderId="7" xfId="0" applyFill="1" applyBorder="1" applyAlignment="1">
      <alignment horizontal="center" vertical="center"/>
    </xf>
    <xf numFmtId="0" fontId="15" fillId="9" borderId="10" xfId="0" applyFont="1" applyFill="1" applyBorder="1" applyAlignment="1" applyProtection="1">
      <alignment horizontal="center"/>
    </xf>
    <xf numFmtId="0" fontId="0" fillId="9" borderId="0" xfId="0" applyFill="1" applyBorder="1" applyAlignment="1">
      <alignment horizontal="center" vertical="center"/>
    </xf>
    <xf numFmtId="0" fontId="10" fillId="8" borderId="6" xfId="0" applyFont="1" applyFill="1" applyBorder="1" applyAlignment="1" applyProtection="1">
      <alignment horizontal="left"/>
    </xf>
    <xf numFmtId="0" fontId="17" fillId="0" borderId="0" xfId="0" applyFont="1" applyFill="1" applyBorder="1"/>
    <xf numFmtId="0" fontId="8" fillId="8" borderId="5" xfId="0" applyFont="1" applyFill="1" applyBorder="1" applyAlignment="1" applyProtection="1">
      <alignment horizontal="left"/>
    </xf>
    <xf numFmtId="0" fontId="13" fillId="8" borderId="12" xfId="0" applyFont="1" applyFill="1" applyBorder="1" applyAlignment="1" applyProtection="1">
      <alignment horizontal="center"/>
    </xf>
    <xf numFmtId="0" fontId="12" fillId="8" borderId="7" xfId="0" applyFont="1" applyFill="1" applyBorder="1" applyAlignment="1" applyProtection="1">
      <alignment horizontal="left"/>
    </xf>
    <xf numFmtId="0" fontId="18" fillId="10" borderId="4" xfId="0" applyFont="1" applyFill="1" applyBorder="1" applyAlignment="1" applyProtection="1">
      <alignment horizontal="left"/>
    </xf>
    <xf numFmtId="0" fontId="5" fillId="10" borderId="5" xfId="0" applyFont="1" applyFill="1" applyBorder="1" applyAlignment="1" applyProtection="1">
      <alignment horizontal="left"/>
    </xf>
    <xf numFmtId="0" fontId="13" fillId="10" borderId="10" xfId="0" applyFont="1" applyFill="1" applyBorder="1" applyAlignment="1" applyProtection="1">
      <alignment horizontal="center"/>
    </xf>
    <xf numFmtId="0" fontId="12" fillId="10" borderId="0" xfId="0" applyFont="1" applyFill="1" applyBorder="1" applyAlignment="1" applyProtection="1">
      <alignment horizontal="left"/>
    </xf>
    <xf numFmtId="0" fontId="13" fillId="10" borderId="12" xfId="0" applyFont="1" applyFill="1" applyBorder="1" applyAlignment="1" applyProtection="1">
      <alignment horizontal="center"/>
    </xf>
    <xf numFmtId="0" fontId="12" fillId="10" borderId="7" xfId="0" applyFont="1" applyFill="1" applyBorder="1" applyAlignment="1" applyProtection="1">
      <alignment horizontal="left"/>
    </xf>
    <xf numFmtId="0" fontId="20" fillId="9" borderId="7" xfId="0" applyFont="1" applyFill="1" applyBorder="1"/>
    <xf numFmtId="0" fontId="0" fillId="10" borderId="7" xfId="0" applyFill="1" applyBorder="1"/>
    <xf numFmtId="0" fontId="0" fillId="10" borderId="13" xfId="0" applyFill="1" applyBorder="1"/>
    <xf numFmtId="0" fontId="20" fillId="9" borderId="13" xfId="0" applyFont="1" applyFill="1" applyBorder="1"/>
    <xf numFmtId="0" fontId="0" fillId="0" borderId="7" xfId="0" applyBorder="1"/>
    <xf numFmtId="0" fontId="0" fillId="0" borderId="13" xfId="0" applyBorder="1"/>
    <xf numFmtId="0" fontId="18" fillId="0" borderId="8" xfId="0" applyFont="1" applyFill="1" applyBorder="1" applyAlignment="1" applyProtection="1">
      <alignment horizontal="left"/>
    </xf>
    <xf numFmtId="0" fontId="5" fillId="0" borderId="6" xfId="0" applyFont="1" applyFill="1" applyBorder="1" applyAlignment="1" applyProtection="1">
      <alignment horizontal="left"/>
    </xf>
    <xf numFmtId="0" fontId="0" fillId="0" borderId="6" xfId="0" applyFill="1" applyBorder="1"/>
    <xf numFmtId="0" fontId="0" fillId="0" borderId="9" xfId="0" applyFill="1" applyBorder="1"/>
    <xf numFmtId="2" fontId="10" fillId="11" borderId="12" xfId="0" applyNumberFormat="1" applyFont="1" applyFill="1" applyBorder="1" applyAlignment="1" applyProtection="1">
      <alignment horizontal="center"/>
    </xf>
    <xf numFmtId="0" fontId="10" fillId="11" borderId="7" xfId="0" applyFont="1" applyFill="1" applyBorder="1" applyAlignment="1" applyProtection="1">
      <alignment horizontal="left"/>
    </xf>
    <xf numFmtId="0" fontId="0" fillId="11" borderId="7" xfId="0" applyFill="1" applyBorder="1"/>
    <xf numFmtId="0" fontId="0" fillId="11" borderId="7" xfId="0" applyFill="1" applyBorder="1" applyAlignment="1">
      <alignment horizontal="center"/>
    </xf>
    <xf numFmtId="0" fontId="0" fillId="11" borderId="13" xfId="0" applyFill="1" applyBorder="1"/>
    <xf numFmtId="0" fontId="10" fillId="11" borderId="10" xfId="0" applyFont="1" applyFill="1" applyBorder="1"/>
    <xf numFmtId="0" fontId="10" fillId="11" borderId="0" xfId="0" applyFont="1" applyFill="1" applyBorder="1"/>
    <xf numFmtId="0" fontId="0" fillId="11" borderId="0" xfId="0" applyFill="1" applyBorder="1"/>
    <xf numFmtId="0" fontId="0" fillId="11" borderId="0" xfId="0" applyFill="1" applyBorder="1" applyAlignment="1">
      <alignment horizontal="center"/>
    </xf>
    <xf numFmtId="0" fontId="0" fillId="11" borderId="11" xfId="0" applyFill="1" applyBorder="1"/>
    <xf numFmtId="0" fontId="15" fillId="11" borderId="12" xfId="0" applyFont="1" applyFill="1" applyBorder="1" applyAlignment="1" applyProtection="1">
      <alignment horizontal="center"/>
    </xf>
    <xf numFmtId="0" fontId="0" fillId="11" borderId="7" xfId="0" applyFill="1" applyBorder="1" applyAlignment="1">
      <alignment horizontal="center" vertical="center"/>
    </xf>
    <xf numFmtId="0" fontId="13" fillId="11" borderId="12" xfId="0" applyFont="1" applyFill="1" applyBorder="1" applyAlignment="1" applyProtection="1">
      <alignment horizontal="center"/>
    </xf>
    <xf numFmtId="0" fontId="12" fillId="11" borderId="7" xfId="0" applyFont="1" applyFill="1" applyBorder="1" applyAlignment="1" applyProtection="1">
      <alignment horizontal="left"/>
    </xf>
    <xf numFmtId="0" fontId="18" fillId="11" borderId="4" xfId="0" applyFont="1" applyFill="1" applyBorder="1" applyAlignment="1" applyProtection="1">
      <alignment horizontal="left"/>
    </xf>
    <xf numFmtId="0" fontId="8" fillId="11" borderId="5" xfId="0" applyFont="1" applyFill="1" applyBorder="1" applyAlignment="1" applyProtection="1">
      <alignment horizontal="left"/>
    </xf>
    <xf numFmtId="0" fontId="0" fillId="11" borderId="6" xfId="0" applyFill="1" applyBorder="1"/>
    <xf numFmtId="0" fontId="0" fillId="11" borderId="9" xfId="0" applyFill="1" applyBorder="1"/>
    <xf numFmtId="0" fontId="0" fillId="11" borderId="6" xfId="0" applyFill="1" applyBorder="1" applyAlignment="1">
      <alignment horizontal="center"/>
    </xf>
    <xf numFmtId="0" fontId="5" fillId="11" borderId="5" xfId="0" applyFont="1" applyFill="1" applyBorder="1" applyAlignment="1" applyProtection="1">
      <alignment horizontal="left"/>
    </xf>
    <xf numFmtId="0" fontId="13" fillId="11" borderId="10" xfId="0" applyFont="1" applyFill="1" applyBorder="1" applyAlignment="1" applyProtection="1">
      <alignment horizontal="center"/>
    </xf>
    <xf numFmtId="0" fontId="12" fillId="11" borderId="0" xfId="0" applyFont="1" applyFill="1" applyBorder="1" applyAlignment="1" applyProtection="1">
      <alignment horizontal="left"/>
    </xf>
    <xf numFmtId="0" fontId="3" fillId="0" borderId="0" xfId="0" applyFont="1" applyFill="1" applyBorder="1" applyAlignment="1" applyProtection="1">
      <alignment horizontal="left"/>
    </xf>
    <xf numFmtId="3" fontId="0" fillId="0" borderId="0" xfId="0" applyNumberFormat="1" applyAlignment="1" applyProtection="1">
      <alignment vertical="center"/>
    </xf>
    <xf numFmtId="164" fontId="4" fillId="3" borderId="0" xfId="0" applyNumberFormat="1" applyFont="1" applyFill="1" applyAlignment="1" applyProtection="1">
      <alignment horizontal="right"/>
      <protection locked="0"/>
    </xf>
    <xf numFmtId="3" fontId="0" fillId="0" borderId="0" xfId="0" applyNumberFormat="1" applyFill="1" applyAlignment="1" applyProtection="1">
      <alignment horizontal="right" vertical="center"/>
      <protection locked="0"/>
    </xf>
    <xf numFmtId="0" fontId="0" fillId="0" borderId="0" xfId="0" applyFill="1"/>
    <xf numFmtId="0" fontId="5" fillId="0" borderId="0" xfId="3" applyFont="1" applyFill="1" applyBorder="1" applyAlignment="1">
      <alignment horizontal="left"/>
    </xf>
    <xf numFmtId="0" fontId="5" fillId="0" borderId="0" xfId="3" applyFont="1" applyFill="1" applyAlignment="1">
      <alignment horizontal="left"/>
    </xf>
    <xf numFmtId="0" fontId="2" fillId="0" borderId="0" xfId="0" applyFont="1" applyFill="1" applyBorder="1" applyAlignment="1" applyProtection="1">
      <alignment horizontal="center"/>
    </xf>
    <xf numFmtId="0" fontId="10" fillId="0" borderId="0" xfId="0" applyFont="1" applyFill="1" applyBorder="1" applyAlignment="1" applyProtection="1">
      <alignment horizontal="left"/>
    </xf>
    <xf numFmtId="164" fontId="4" fillId="0" borderId="0" xfId="0" applyNumberFormat="1" applyFont="1" applyAlignment="1">
      <alignment horizontal="right"/>
    </xf>
    <xf numFmtId="0" fontId="4" fillId="0" borderId="0" xfId="0" applyFont="1" applyAlignment="1">
      <alignment horizontal="right"/>
    </xf>
    <xf numFmtId="0" fontId="10" fillId="0" borderId="0" xfId="0" applyFont="1" applyFill="1" applyBorder="1" applyAlignment="1" applyProtection="1">
      <alignment horizontal="center" vertical="center"/>
    </xf>
    <xf numFmtId="0" fontId="3" fillId="0" borderId="0" xfId="0" applyFont="1" applyFill="1" applyAlignment="1" applyProtection="1">
      <alignment horizontal="center"/>
    </xf>
    <xf numFmtId="0" fontId="3" fillId="0" borderId="0" xfId="0" applyFont="1" applyFill="1" applyAlignment="1" applyProtection="1">
      <alignment horizontal="center" vertical="center"/>
    </xf>
    <xf numFmtId="0" fontId="11" fillId="0" borderId="0" xfId="0" applyFont="1" applyAlignment="1">
      <alignment horizontal="center"/>
    </xf>
    <xf numFmtId="0" fontId="24" fillId="0" borderId="0" xfId="0" applyFont="1" applyFill="1" applyBorder="1" applyAlignment="1" applyProtection="1">
      <alignment horizontal="center" vertical="center"/>
    </xf>
    <xf numFmtId="3" fontId="0" fillId="0" borderId="0" xfId="0" applyNumberFormat="1" applyAlignment="1" applyProtection="1">
      <alignment horizontal="left" vertical="center"/>
    </xf>
    <xf numFmtId="0" fontId="9" fillId="0" borderId="16" xfId="3" applyFont="1" applyFill="1" applyBorder="1" applyAlignment="1">
      <alignment horizontal="left"/>
    </xf>
    <xf numFmtId="0" fontId="0" fillId="0" borderId="16" xfId="0" applyBorder="1"/>
    <xf numFmtId="164" fontId="4" fillId="3" borderId="16" xfId="0" applyNumberFormat="1" applyFont="1" applyFill="1" applyBorder="1" applyAlignment="1" applyProtection="1">
      <alignment horizontal="right"/>
      <protection locked="0"/>
    </xf>
    <xf numFmtId="164" fontId="4" fillId="0" borderId="16" xfId="0" applyNumberFormat="1" applyFont="1" applyBorder="1" applyAlignment="1">
      <alignment horizontal="right"/>
    </xf>
    <xf numFmtId="0" fontId="5" fillId="0" borderId="16" xfId="3" applyFont="1" applyFill="1" applyBorder="1" applyAlignment="1">
      <alignment horizontal="left"/>
    </xf>
    <xf numFmtId="0" fontId="5" fillId="0" borderId="17" xfId="3" applyFont="1" applyFill="1" applyBorder="1" applyAlignment="1">
      <alignment horizontal="left"/>
    </xf>
    <xf numFmtId="0" fontId="0" fillId="0" borderId="17" xfId="0" applyBorder="1"/>
    <xf numFmtId="164" fontId="4" fillId="0" borderId="17" xfId="0" applyNumberFormat="1" applyFont="1" applyBorder="1" applyAlignment="1">
      <alignment horizontal="right"/>
    </xf>
    <xf numFmtId="0" fontId="23" fillId="0" borderId="14" xfId="3" applyFont="1" applyFill="1" applyBorder="1" applyAlignment="1">
      <alignment horizontal="left" vertical="center"/>
    </xf>
    <xf numFmtId="0" fontId="0" fillId="0" borderId="2" xfId="0" applyBorder="1" applyAlignment="1">
      <alignment vertical="center"/>
    </xf>
    <xf numFmtId="164" fontId="3" fillId="0" borderId="2" xfId="0" applyNumberFormat="1" applyFont="1" applyBorder="1" applyAlignment="1">
      <alignment horizontal="right" vertical="center"/>
    </xf>
    <xf numFmtId="0" fontId="5" fillId="0" borderId="18" xfId="3" applyFont="1" applyFill="1" applyBorder="1" applyAlignment="1">
      <alignment horizontal="left"/>
    </xf>
    <xf numFmtId="0" fontId="0" fillId="0" borderId="18" xfId="0" applyBorder="1"/>
    <xf numFmtId="164" fontId="4" fillId="3" borderId="18" xfId="0" applyNumberFormat="1" applyFont="1" applyFill="1" applyBorder="1" applyAlignment="1" applyProtection="1">
      <alignment horizontal="right"/>
      <protection locked="0"/>
    </xf>
    <xf numFmtId="164" fontId="4" fillId="0" borderId="18" xfId="0" applyNumberFormat="1" applyFont="1" applyBorder="1" applyAlignment="1">
      <alignment horizontal="right"/>
    </xf>
    <xf numFmtId="0" fontId="9" fillId="0" borderId="6" xfId="3" applyFont="1" applyFill="1" applyBorder="1" applyAlignment="1">
      <alignment horizontal="left"/>
    </xf>
    <xf numFmtId="0" fontId="0" fillId="0" borderId="6" xfId="0" applyBorder="1"/>
    <xf numFmtId="164" fontId="4" fillId="0" borderId="6" xfId="0" applyNumberFormat="1" applyFont="1" applyBorder="1" applyAlignment="1">
      <alignment horizontal="right"/>
    </xf>
    <xf numFmtId="164" fontId="3" fillId="0" borderId="15" xfId="0" applyNumberFormat="1" applyFont="1" applyBorder="1" applyAlignment="1">
      <alignment horizontal="right" vertical="center"/>
    </xf>
    <xf numFmtId="0" fontId="13" fillId="0" borderId="18" xfId="3" applyFont="1" applyFill="1" applyBorder="1" applyAlignment="1">
      <alignment horizontal="left"/>
    </xf>
    <xf numFmtId="0" fontId="25" fillId="0" borderId="0" xfId="0" applyFont="1" applyFill="1" applyProtection="1"/>
    <xf numFmtId="0" fontId="5" fillId="3" borderId="0" xfId="0" applyFont="1" applyFill="1" applyAlignment="1" applyProtection="1">
      <alignment horizontal="center"/>
      <protection locked="0"/>
    </xf>
    <xf numFmtId="165" fontId="3" fillId="12" borderId="0" xfId="0" applyNumberFormat="1" applyFont="1" applyFill="1" applyAlignment="1" applyProtection="1">
      <alignment horizontal="center"/>
    </xf>
    <xf numFmtId="0" fontId="12" fillId="12" borderId="0" xfId="0" applyFont="1" applyFill="1" applyAlignment="1" applyProtection="1">
      <alignment horizontal="center"/>
    </xf>
    <xf numFmtId="0" fontId="10" fillId="0" borderId="0" xfId="0" applyFont="1" applyFill="1" applyAlignment="1" applyProtection="1">
      <alignment horizontal="center"/>
    </xf>
    <xf numFmtId="0" fontId="10" fillId="3" borderId="0" xfId="0" applyFont="1" applyFill="1" applyAlignment="1" applyProtection="1">
      <alignment horizontal="center"/>
      <protection locked="0"/>
    </xf>
    <xf numFmtId="0" fontId="10" fillId="0" borderId="0" xfId="0" applyFont="1" applyFill="1" applyAlignment="1" applyProtection="1">
      <alignment horizontal="left"/>
    </xf>
    <xf numFmtId="164" fontId="10" fillId="0" borderId="0" xfId="0" applyNumberFormat="1" applyFont="1" applyFill="1" applyAlignment="1" applyProtection="1">
      <alignment horizontal="right"/>
    </xf>
    <xf numFmtId="0" fontId="2" fillId="4" borderId="3" xfId="0" applyFont="1" applyFill="1" applyBorder="1" applyAlignment="1" applyProtection="1">
      <alignment horizontal="center"/>
    </xf>
    <xf numFmtId="0" fontId="2" fillId="4" borderId="3" xfId="0" applyFont="1" applyFill="1" applyBorder="1" applyAlignment="1" applyProtection="1">
      <alignment horizontal="centerContinuous"/>
    </xf>
    <xf numFmtId="0" fontId="2" fillId="4" borderId="3" xfId="0" applyFont="1" applyFill="1" applyBorder="1" applyAlignment="1" applyProtection="1">
      <alignment horizontal="centerContinuous" readingOrder="1"/>
    </xf>
    <xf numFmtId="0" fontId="2" fillId="4" borderId="3" xfId="0" applyFont="1" applyFill="1" applyBorder="1" applyAlignment="1" applyProtection="1">
      <alignment horizontal="centerContinuous" readingOrder="2"/>
    </xf>
    <xf numFmtId="0" fontId="26" fillId="4" borderId="3" xfId="0" applyFont="1" applyFill="1" applyBorder="1" applyAlignment="1" applyProtection="1">
      <alignment horizontal="centerContinuous"/>
    </xf>
    <xf numFmtId="0" fontId="26" fillId="4" borderId="3" xfId="0" applyFont="1" applyFill="1" applyBorder="1" applyAlignment="1" applyProtection="1">
      <alignment horizontal="left"/>
    </xf>
    <xf numFmtId="0" fontId="25" fillId="0" borderId="0" xfId="0" applyFont="1" applyFill="1" applyAlignment="1" applyProtection="1">
      <alignment horizontal="left" vertical="center"/>
    </xf>
    <xf numFmtId="0" fontId="10" fillId="0" borderId="0" xfId="0" applyFont="1" applyFill="1" applyAlignment="1" applyProtection="1">
      <alignment horizontal="left" vertical="center"/>
    </xf>
    <xf numFmtId="3" fontId="4" fillId="0" borderId="0" xfId="0" applyNumberFormat="1" applyFont="1" applyFill="1" applyAlignment="1" applyProtection="1">
      <alignment horizontal="left" vertical="center"/>
    </xf>
    <xf numFmtId="164" fontId="4" fillId="0" borderId="0" xfId="0" applyNumberFormat="1" applyFont="1" applyFill="1" applyAlignment="1" applyProtection="1">
      <alignment horizontal="left" vertical="center"/>
    </xf>
    <xf numFmtId="0" fontId="10" fillId="0" borderId="0" xfId="0" applyFont="1" applyFill="1" applyAlignment="1" applyProtection="1">
      <alignment horizontal="centerContinuous" vertical="center"/>
    </xf>
    <xf numFmtId="3" fontId="4" fillId="0" borderId="0" xfId="0" applyNumberFormat="1" applyFont="1" applyFill="1" applyAlignment="1" applyProtection="1">
      <alignment horizontal="centerContinuous" vertical="center"/>
    </xf>
    <xf numFmtId="164" fontId="4" fillId="0" borderId="0" xfId="0" applyNumberFormat="1" applyFont="1" applyFill="1" applyAlignment="1" applyProtection="1">
      <alignment horizontal="centerContinuous" vertical="center"/>
    </xf>
    <xf numFmtId="0" fontId="25" fillId="0" borderId="0" xfId="0" applyFont="1" applyFill="1" applyAlignment="1" applyProtection="1">
      <alignment horizontal="centerContinuous" vertical="distributed" wrapText="1"/>
    </xf>
    <xf numFmtId="0" fontId="19" fillId="0" borderId="0" xfId="0" applyFont="1" applyFill="1" applyAlignment="1" applyProtection="1">
      <alignment horizontal="centerContinuous"/>
    </xf>
    <xf numFmtId="0" fontId="25" fillId="0" borderId="1" xfId="0" applyFont="1" applyFill="1" applyBorder="1" applyAlignment="1" applyProtection="1">
      <alignment horizontal="center"/>
    </xf>
    <xf numFmtId="0" fontId="27" fillId="13" borderId="0" xfId="0" applyFont="1" applyFill="1" applyBorder="1" applyAlignment="1">
      <alignment horizontal="left"/>
    </xf>
    <xf numFmtId="0" fontId="27" fillId="0" borderId="0" xfId="0" applyFont="1" applyBorder="1" applyAlignment="1">
      <alignment horizontal="left"/>
    </xf>
    <xf numFmtId="1" fontId="27" fillId="13" borderId="0" xfId="0" applyNumberFormat="1" applyFont="1" applyFill="1" applyBorder="1" applyAlignment="1">
      <alignment horizontal="left"/>
    </xf>
    <xf numFmtId="1" fontId="27" fillId="0" borderId="0" xfId="0" applyNumberFormat="1" applyFont="1" applyBorder="1" applyAlignment="1">
      <alignment horizontal="left"/>
    </xf>
    <xf numFmtId="2" fontId="3" fillId="0" borderId="0" xfId="0" applyNumberFormat="1" applyFont="1" applyFill="1" applyAlignment="1" applyProtection="1">
      <alignment horizontal="center"/>
    </xf>
    <xf numFmtId="167" fontId="4" fillId="0" borderId="0" xfId="0" applyNumberFormat="1" applyFont="1" applyFill="1" applyAlignment="1" applyProtection="1">
      <alignment horizontal="center"/>
    </xf>
    <xf numFmtId="0" fontId="28" fillId="14" borderId="20" xfId="0" applyFont="1" applyFill="1" applyBorder="1" applyAlignment="1">
      <alignment horizontal="left"/>
    </xf>
    <xf numFmtId="1" fontId="28" fillId="14" borderId="20" xfId="0" applyNumberFormat="1" applyFont="1" applyFill="1" applyBorder="1" applyAlignment="1">
      <alignment horizontal="left"/>
    </xf>
    <xf numFmtId="0" fontId="27" fillId="0" borderId="0" xfId="0" applyFont="1" applyBorder="1" applyAlignment="1">
      <alignment horizontal="left" wrapText="1"/>
    </xf>
    <xf numFmtId="0" fontId="27" fillId="13" borderId="0" xfId="0" applyFont="1" applyFill="1" applyBorder="1" applyAlignment="1">
      <alignment horizontal="left" wrapText="1"/>
    </xf>
    <xf numFmtId="164" fontId="4" fillId="0" borderId="1" xfId="0" applyNumberFormat="1" applyFont="1" applyFill="1" applyBorder="1" applyAlignment="1" applyProtection="1">
      <alignment horizontal="center" wrapText="1"/>
    </xf>
    <xf numFmtId="0" fontId="27" fillId="13" borderId="0" xfId="0" applyFont="1" applyFill="1"/>
    <xf numFmtId="0" fontId="29" fillId="13" borderId="0" xfId="0" applyFont="1" applyFill="1"/>
    <xf numFmtId="1" fontId="29" fillId="13" borderId="0" xfId="0" applyNumberFormat="1" applyFont="1" applyFill="1"/>
    <xf numFmtId="0" fontId="4" fillId="12" borderId="0" xfId="0" applyFont="1" applyFill="1" applyAlignment="1" applyProtection="1">
      <alignment horizontal="centerContinuous" vertical="distributed"/>
    </xf>
    <xf numFmtId="3" fontId="4" fillId="0" borderId="0" xfId="0" applyNumberFormat="1" applyFont="1" applyFill="1" applyAlignment="1" applyProtection="1">
      <alignment horizontal="centerContinuous" vertical="distributed"/>
    </xf>
    <xf numFmtId="164" fontId="4" fillId="0" borderId="0" xfId="0" applyNumberFormat="1" applyFont="1" applyFill="1" applyAlignment="1" applyProtection="1">
      <alignment horizontal="centerContinuous" vertical="distributed"/>
    </xf>
    <xf numFmtId="0" fontId="29" fillId="13" borderId="0" xfId="0" applyFont="1" applyFill="1" applyAlignment="1">
      <alignment wrapText="1"/>
    </xf>
    <xf numFmtId="1" fontId="28" fillId="14" borderId="20" xfId="0" applyNumberFormat="1"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wrapText="1"/>
      <protection locked="0"/>
    </xf>
    <xf numFmtId="0" fontId="27" fillId="13" borderId="0" xfId="0" applyFont="1" applyFill="1" applyBorder="1" applyAlignment="1" applyProtection="1">
      <alignment horizontal="center"/>
      <protection locked="0"/>
    </xf>
    <xf numFmtId="0" fontId="10" fillId="0" borderId="0" xfId="0" applyFont="1" applyFill="1" applyAlignment="1" applyProtection="1">
      <alignment horizontal="left"/>
      <protection locked="0"/>
    </xf>
    <xf numFmtId="0" fontId="4" fillId="0" borderId="0" xfId="0" applyFont="1" applyFill="1" applyAlignment="1" applyProtection="1">
      <alignment horizontal="left"/>
      <protection locked="0"/>
    </xf>
    <xf numFmtId="0" fontId="4" fillId="0" borderId="0" xfId="0" applyFont="1" applyFill="1" applyAlignment="1" applyProtection="1">
      <alignment horizontal="center"/>
      <protection locked="0"/>
    </xf>
    <xf numFmtId="167" fontId="4" fillId="7" borderId="0" xfId="0" applyNumberFormat="1" applyFont="1" applyFill="1" applyAlignment="1" applyProtection="1">
      <alignment horizontal="center"/>
      <protection locked="0"/>
    </xf>
    <xf numFmtId="0" fontId="10" fillId="0" borderId="0" xfId="0" applyFont="1" applyFill="1" applyAlignment="1" applyProtection="1">
      <alignment horizontal="center"/>
      <protection locked="0"/>
    </xf>
    <xf numFmtId="3" fontId="3"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3" fontId="3" fillId="12" borderId="0" xfId="0" applyNumberFormat="1" applyFont="1" applyFill="1" applyAlignment="1" applyProtection="1">
      <alignment horizontal="center"/>
      <protection locked="0"/>
    </xf>
    <xf numFmtId="164" fontId="3" fillId="12" borderId="0" xfId="0" applyNumberFormat="1" applyFont="1" applyFill="1" applyAlignment="1" applyProtection="1">
      <alignment horizontal="center"/>
      <protection locked="0"/>
    </xf>
    <xf numFmtId="0" fontId="9" fillId="0" borderId="0" xfId="0" applyFont="1" applyFill="1" applyAlignment="1" applyProtection="1">
      <alignment horizontal="right"/>
    </xf>
    <xf numFmtId="167" fontId="4" fillId="3" borderId="0" xfId="0" applyNumberFormat="1" applyFont="1" applyFill="1" applyAlignment="1" applyProtection="1">
      <alignment horizontal="center"/>
    </xf>
    <xf numFmtId="164" fontId="4" fillId="3" borderId="0" xfId="0" applyNumberFormat="1" applyFont="1" applyFill="1" applyAlignment="1" applyProtection="1">
      <alignment horizontal="center"/>
    </xf>
    <xf numFmtId="164" fontId="0" fillId="0" borderId="0" xfId="0" applyNumberFormat="1" applyProtection="1">
      <protection locked="0"/>
    </xf>
    <xf numFmtId="168" fontId="4" fillId="0" borderId="0" xfId="0" applyNumberFormat="1" applyFont="1" applyFill="1" applyAlignment="1" applyProtection="1">
      <alignment horizontal="center"/>
    </xf>
    <xf numFmtId="0" fontId="1" fillId="2" borderId="0" xfId="1"/>
    <xf numFmtId="0" fontId="1" fillId="2" borderId="0" xfId="1" applyAlignment="1">
      <alignment horizontal="right"/>
    </xf>
    <xf numFmtId="0" fontId="0" fillId="2" borderId="0" xfId="1" applyFont="1" applyAlignment="1">
      <alignment horizontal="right"/>
    </xf>
    <xf numFmtId="0" fontId="0" fillId="2" borderId="0" xfId="1" applyFont="1" applyAlignment="1">
      <alignment horizontal="right" vertical="top"/>
    </xf>
    <xf numFmtId="167" fontId="4" fillId="3" borderId="24" xfId="0" applyNumberFormat="1" applyFont="1" applyFill="1" applyBorder="1" applyAlignment="1" applyProtection="1">
      <alignment horizontal="center"/>
    </xf>
    <xf numFmtId="0" fontId="1" fillId="2" borderId="0" xfId="1" applyAlignment="1">
      <alignment horizontal="left"/>
    </xf>
    <xf numFmtId="0" fontId="27" fillId="0" borderId="0" xfId="0" applyFont="1" applyFill="1" applyBorder="1" applyAlignment="1">
      <alignment horizontal="left"/>
    </xf>
    <xf numFmtId="0" fontId="40" fillId="0" borderId="0" xfId="0" applyFont="1" applyAlignment="1">
      <alignment horizontal="left" vertical="top"/>
    </xf>
    <xf numFmtId="0" fontId="40" fillId="15" borderId="0" xfId="0" applyFont="1" applyFill="1" applyAlignment="1">
      <alignment horizontal="left" vertical="top"/>
    </xf>
    <xf numFmtId="0" fontId="40" fillId="0" borderId="0" xfId="0" applyFont="1" applyAlignment="1">
      <alignment horizontal="left"/>
    </xf>
    <xf numFmtId="0" fontId="40" fillId="15" borderId="0" xfId="0" applyFont="1" applyFill="1" applyAlignment="1">
      <alignment horizontal="left"/>
    </xf>
    <xf numFmtId="0" fontId="40" fillId="16" borderId="0" xfId="0" applyFont="1" applyFill="1" applyAlignment="1">
      <alignment horizontal="left" vertical="top"/>
    </xf>
    <xf numFmtId="0" fontId="40" fillId="16" borderId="0" xfId="0" applyFont="1" applyFill="1" applyAlignment="1">
      <alignment horizontal="left"/>
    </xf>
    <xf numFmtId="0" fontId="40" fillId="17" borderId="0" xfId="0" applyFont="1" applyFill="1" applyAlignment="1">
      <alignment horizontal="left" vertical="top"/>
    </xf>
    <xf numFmtId="0" fontId="40" fillId="17" borderId="0" xfId="0" applyFont="1" applyFill="1" applyAlignment="1">
      <alignment horizontal="left"/>
    </xf>
    <xf numFmtId="0" fontId="27" fillId="17" borderId="0" xfId="0" applyFont="1" applyFill="1" applyBorder="1" applyAlignment="1">
      <alignment horizontal="left"/>
    </xf>
    <xf numFmtId="1" fontId="27" fillId="17" borderId="0" xfId="0" applyNumberFormat="1" applyFont="1" applyFill="1" applyBorder="1" applyAlignment="1">
      <alignment horizontal="left"/>
    </xf>
    <xf numFmtId="0" fontId="27" fillId="18" borderId="0" xfId="0" applyFont="1" applyFill="1" applyBorder="1" applyAlignment="1">
      <alignment horizontal="left"/>
    </xf>
    <xf numFmtId="1" fontId="27" fillId="18" borderId="0" xfId="0" applyNumberFormat="1" applyFont="1" applyFill="1" applyBorder="1" applyAlignment="1">
      <alignment horizontal="left"/>
    </xf>
    <xf numFmtId="0" fontId="5" fillId="0" borderId="0" xfId="0" applyFont="1" applyFill="1" applyAlignment="1" applyProtection="1">
      <alignment horizontal="center"/>
      <protection locked="0"/>
    </xf>
    <xf numFmtId="0" fontId="27" fillId="0" borderId="0" xfId="0" applyFont="1" applyFill="1" applyBorder="1" applyAlignment="1" applyProtection="1">
      <alignment horizontal="center"/>
      <protection locked="0"/>
    </xf>
    <xf numFmtId="0" fontId="0" fillId="10" borderId="0" xfId="0" applyFill="1" applyBorder="1" applyAlignment="1">
      <alignment horizontal="center"/>
    </xf>
    <xf numFmtId="0" fontId="0" fillId="10" borderId="7" xfId="0" applyFill="1" applyBorder="1" applyAlignment="1">
      <alignment horizontal="center"/>
    </xf>
    <xf numFmtId="0" fontId="0" fillId="10" borderId="6" xfId="0" applyFill="1" applyBorder="1" applyAlignment="1">
      <alignment horizontal="center"/>
    </xf>
    <xf numFmtId="0" fontId="20" fillId="9" borderId="7" xfId="0" applyFont="1" applyFill="1" applyBorder="1" applyAlignment="1">
      <alignment horizontal="center"/>
    </xf>
    <xf numFmtId="0" fontId="25" fillId="0" borderId="0" xfId="0" applyFont="1" applyFill="1" applyAlignment="1" applyProtection="1">
      <alignment wrapText="1"/>
    </xf>
    <xf numFmtId="0" fontId="27" fillId="0" borderId="0" xfId="0" applyFont="1" applyAlignment="1">
      <alignment horizontal="left"/>
    </xf>
    <xf numFmtId="1" fontId="27" fillId="0" borderId="0" xfId="0" applyNumberFormat="1" applyFont="1" applyAlignment="1">
      <alignment horizontal="left"/>
    </xf>
    <xf numFmtId="0" fontId="27" fillId="13" borderId="0" xfId="0" applyFont="1" applyFill="1" applyAlignment="1">
      <alignment horizontal="left"/>
    </xf>
    <xf numFmtId="1" fontId="27" fillId="13" borderId="0" xfId="0" applyNumberFormat="1" applyFont="1" applyFill="1" applyAlignment="1">
      <alignment horizontal="left"/>
    </xf>
    <xf numFmtId="0" fontId="32" fillId="0" borderId="21" xfId="1" applyFont="1" applyFill="1" applyBorder="1" applyAlignment="1" applyProtection="1">
      <alignment vertical="center" wrapText="1"/>
      <protection locked="0"/>
    </xf>
    <xf numFmtId="0" fontId="32" fillId="0" borderId="22" xfId="1" applyFont="1" applyFill="1" applyBorder="1" applyAlignment="1" applyProtection="1">
      <alignment vertical="top" wrapText="1"/>
      <protection locked="0"/>
    </xf>
    <xf numFmtId="0" fontId="9" fillId="0" borderId="0" xfId="0" applyFont="1" applyFill="1" applyAlignment="1" applyProtection="1">
      <alignment horizontal="right"/>
    </xf>
    <xf numFmtId="0" fontId="2" fillId="4" borderId="3" xfId="0" applyFont="1" applyFill="1" applyBorder="1" applyAlignment="1" applyProtection="1">
      <alignment horizontal="center"/>
    </xf>
    <xf numFmtId="0" fontId="3" fillId="0" borderId="0" xfId="0" applyFont="1" applyFill="1" applyBorder="1" applyAlignment="1" applyProtection="1">
      <alignment horizontal="left"/>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3" fillId="0" borderId="27" xfId="0" applyFont="1" applyBorder="1" applyAlignment="1">
      <alignment horizontal="left" vertical="top" wrapText="1"/>
    </xf>
    <xf numFmtId="0" fontId="33" fillId="0" borderId="19" xfId="0" applyFont="1" applyBorder="1" applyAlignment="1">
      <alignment horizontal="left" vertical="top"/>
    </xf>
    <xf numFmtId="0" fontId="33" fillId="0" borderId="26" xfId="0" applyFont="1" applyBorder="1" applyAlignment="1">
      <alignment horizontal="left" vertical="top"/>
    </xf>
    <xf numFmtId="0" fontId="25" fillId="0" borderId="0" xfId="0" applyFont="1" applyFill="1" applyAlignment="1" applyProtection="1"/>
    <xf numFmtId="164" fontId="4" fillId="0" borderId="0" xfId="0" applyNumberFormat="1" applyFont="1" applyAlignment="1">
      <alignment horizontal="center"/>
    </xf>
    <xf numFmtId="7" fontId="4" fillId="0" borderId="0" xfId="0" applyNumberFormat="1" applyFont="1" applyFill="1" applyAlignment="1" applyProtection="1">
      <alignment horizontal="center"/>
    </xf>
    <xf numFmtId="7" fontId="4" fillId="4" borderId="0" xfId="0" applyNumberFormat="1" applyFont="1" applyFill="1" applyAlignment="1" applyProtection="1">
      <alignment horizontal="center"/>
    </xf>
    <xf numFmtId="164" fontId="4" fillId="4" borderId="0" xfId="0" applyNumberFormat="1" applyFont="1" applyFill="1" applyAlignment="1" applyProtection="1">
      <alignment horizontal="center"/>
    </xf>
    <xf numFmtId="4" fontId="4" fillId="0" borderId="0" xfId="0" applyNumberFormat="1" applyFont="1" applyFill="1" applyAlignment="1" applyProtection="1">
      <alignment horizontal="center"/>
    </xf>
    <xf numFmtId="4" fontId="4" fillId="4" borderId="0" xfId="0" applyNumberFormat="1" applyFont="1" applyFill="1" applyAlignment="1" applyProtection="1">
      <alignment horizontal="center"/>
    </xf>
    <xf numFmtId="10" fontId="4" fillId="0" borderId="0" xfId="0" applyNumberFormat="1" applyFont="1" applyFill="1" applyAlignment="1" applyProtection="1">
      <alignment horizontal="center"/>
    </xf>
    <xf numFmtId="0" fontId="33" fillId="0" borderId="25" xfId="0" applyFont="1" applyBorder="1" applyAlignment="1">
      <alignment horizontal="left" vertical="top" wrapText="1"/>
    </xf>
    <xf numFmtId="0" fontId="33" fillId="0" borderId="25" xfId="0" applyFont="1" applyBorder="1" applyAlignment="1">
      <alignment horizontal="left" vertical="top"/>
    </xf>
    <xf numFmtId="0" fontId="31" fillId="0" borderId="23" xfId="0" applyFont="1" applyBorder="1" applyAlignment="1">
      <alignment horizontal="center" vertical="center"/>
    </xf>
    <xf numFmtId="0" fontId="0" fillId="0" borderId="23" xfId="0" applyBorder="1" applyAlignment="1">
      <alignment horizontal="center" vertical="center"/>
    </xf>
    <xf numFmtId="0" fontId="30" fillId="0" borderId="23" xfId="0" applyFont="1" applyBorder="1" applyAlignment="1">
      <alignment horizontal="left" vertical="top" wrapText="1"/>
    </xf>
    <xf numFmtId="0" fontId="30" fillId="0" borderId="23" xfId="0" applyFont="1" applyBorder="1" applyAlignment="1">
      <alignment horizontal="left" vertical="top"/>
    </xf>
    <xf numFmtId="0" fontId="30" fillId="0" borderId="23" xfId="0" applyFont="1" applyBorder="1" applyAlignment="1">
      <alignment horizontal="center" vertical="center"/>
    </xf>
    <xf numFmtId="0" fontId="9" fillId="0" borderId="0" xfId="0" applyFont="1" applyFill="1" applyAlignment="1" applyProtection="1">
      <alignment horizontal="right"/>
    </xf>
    <xf numFmtId="0" fontId="7" fillId="0" borderId="0" xfId="0" applyFont="1" applyFill="1" applyAlignment="1" applyProtection="1">
      <alignment horizontal="center" wrapText="1"/>
    </xf>
    <xf numFmtId="0" fontId="4" fillId="5" borderId="19" xfId="0" applyFont="1" applyFill="1" applyBorder="1" applyAlignment="1" applyProtection="1">
      <alignment horizontal="center"/>
    </xf>
    <xf numFmtId="0" fontId="3" fillId="3" borderId="0" xfId="0" applyFont="1" applyFill="1" applyBorder="1" applyAlignment="1" applyProtection="1">
      <alignment horizontal="left"/>
      <protection locked="0"/>
    </xf>
    <xf numFmtId="0" fontId="2" fillId="4" borderId="3" xfId="0" applyFont="1" applyFill="1" applyBorder="1" applyAlignment="1" applyProtection="1">
      <alignment horizontal="center"/>
    </xf>
    <xf numFmtId="0" fontId="2" fillId="5" borderId="3" xfId="0" applyFont="1" applyFill="1" applyBorder="1" applyAlignment="1" applyProtection="1">
      <alignment horizontal="center"/>
    </xf>
    <xf numFmtId="0" fontId="4" fillId="4" borderId="19" xfId="0" applyFont="1" applyFill="1" applyBorder="1" applyAlignment="1" applyProtection="1">
      <alignment horizontal="center"/>
    </xf>
    <xf numFmtId="0" fontId="7" fillId="0" borderId="0" xfId="0" applyFont="1" applyFill="1" applyAlignment="1" applyProtection="1">
      <alignment horizontal="center"/>
    </xf>
    <xf numFmtId="0" fontId="3" fillId="0" borderId="0" xfId="0" applyFont="1" applyFill="1" applyBorder="1" applyAlignment="1" applyProtection="1">
      <alignment horizontal="left"/>
    </xf>
    <xf numFmtId="0" fontId="2" fillId="4" borderId="2" xfId="0" applyFont="1" applyFill="1" applyBorder="1" applyAlignment="1" applyProtection="1">
      <alignment horizontal="center"/>
    </xf>
    <xf numFmtId="0" fontId="0" fillId="0" borderId="2" xfId="0" applyBorder="1" applyAlignment="1"/>
  </cellXfs>
  <cellStyles count="4">
    <cellStyle name="Chart" xfId="2" xr:uid="{00000000-0005-0000-0000-000000000000}"/>
    <cellStyle name="Normal" xfId="0" builtinId="0"/>
    <cellStyle name="Normal 2" xfId="1" xr:uid="{00000000-0005-0000-0000-000002000000}"/>
    <cellStyle name="Normal 3" xfId="3" xr:uid="{00000000-0005-0000-0000-000003000000}"/>
  </cellStyles>
  <dxfs count="6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D9D9D9"/>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WY_DES/PDMA/QBS%20Documents/Working%20documents/Incentives_Spreadsheet/wflhd_incentives_adjustments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quisition Obligation Summary"/>
      <sheetName val="Incentive Sheet1"/>
      <sheetName val="Incentive Sheet2"/>
      <sheetName val="Incentive Sheet3"/>
      <sheetName val="Incentive Sheet4"/>
      <sheetName val="Incentive Sheet5"/>
      <sheetName val="Incentive Sheet6"/>
      <sheetName val="Incentive Sheet7"/>
      <sheetName val="VLookup tabl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workbookViewId="0">
      <selection activeCell="P8" sqref="P8"/>
    </sheetView>
  </sheetViews>
  <sheetFormatPr defaultRowHeight="15" x14ac:dyDescent="0.25"/>
  <cols>
    <col min="13" max="13" width="9.85546875" customWidth="1"/>
    <col min="15" max="15" width="21.140625" customWidth="1"/>
    <col min="16" max="16" width="26.85546875" customWidth="1"/>
  </cols>
  <sheetData>
    <row r="1" spans="1:30" ht="15.75" thickBot="1" x14ac:dyDescent="0.3">
      <c r="A1" s="291"/>
      <c r="B1" s="290" t="s">
        <v>361</v>
      </c>
      <c r="C1" s="291"/>
      <c r="D1" s="291"/>
      <c r="E1" s="291"/>
      <c r="F1" s="291"/>
      <c r="G1" s="291"/>
      <c r="H1" s="291"/>
      <c r="I1" s="291"/>
      <c r="J1" s="291"/>
      <c r="K1" s="291"/>
      <c r="L1" s="291"/>
      <c r="M1" s="291"/>
      <c r="N1" s="240"/>
      <c r="O1" s="240"/>
      <c r="P1" s="240"/>
      <c r="Q1" s="240"/>
      <c r="R1" s="240"/>
      <c r="S1" s="240"/>
      <c r="T1" s="240"/>
      <c r="U1" s="240"/>
      <c r="V1" s="240"/>
      <c r="W1" s="240"/>
      <c r="X1" s="240"/>
      <c r="Y1" s="240"/>
      <c r="Z1" s="240"/>
      <c r="AA1" s="240"/>
      <c r="AB1" s="240"/>
      <c r="AC1" s="240"/>
      <c r="AD1" s="240"/>
    </row>
    <row r="2" spans="1:30" ht="28.35" customHeight="1" thickBot="1" x14ac:dyDescent="0.3">
      <c r="A2" s="291"/>
      <c r="B2" s="291"/>
      <c r="C2" s="291"/>
      <c r="D2" s="291"/>
      <c r="E2" s="291"/>
      <c r="F2" s="291"/>
      <c r="G2" s="291"/>
      <c r="H2" s="291"/>
      <c r="I2" s="291"/>
      <c r="J2" s="291"/>
      <c r="K2" s="291"/>
      <c r="L2" s="291"/>
      <c r="M2" s="291"/>
      <c r="N2" s="240"/>
      <c r="O2" s="240"/>
      <c r="P2" s="240"/>
      <c r="Q2" s="240"/>
      <c r="R2" s="240"/>
      <c r="S2" s="240"/>
      <c r="T2" s="240"/>
      <c r="U2" s="240"/>
      <c r="V2" s="240"/>
      <c r="W2" s="240"/>
      <c r="X2" s="240"/>
      <c r="Y2" s="240"/>
      <c r="Z2" s="240"/>
      <c r="AA2" s="240"/>
      <c r="AB2" s="240"/>
      <c r="AC2" s="240"/>
      <c r="AD2" s="240"/>
    </row>
    <row r="3" spans="1:30" ht="15.75" thickBot="1" x14ac:dyDescent="0.3">
      <c r="A3" s="294">
        <v>1</v>
      </c>
      <c r="B3" s="292" t="s">
        <v>452</v>
      </c>
      <c r="C3" s="293"/>
      <c r="D3" s="293"/>
      <c r="E3" s="293"/>
      <c r="F3" s="293"/>
      <c r="G3" s="293"/>
      <c r="H3" s="293"/>
      <c r="I3" s="293"/>
      <c r="J3" s="293"/>
      <c r="K3" s="293"/>
      <c r="L3" s="293"/>
      <c r="M3" s="293"/>
      <c r="N3" s="240"/>
      <c r="O3" s="240"/>
      <c r="P3" s="240"/>
      <c r="Q3" s="240"/>
      <c r="R3" s="240"/>
      <c r="S3" s="240"/>
      <c r="T3" s="240"/>
      <c r="U3" s="240"/>
      <c r="V3" s="240"/>
      <c r="W3" s="240"/>
      <c r="X3" s="240"/>
      <c r="Y3" s="240"/>
      <c r="Z3" s="240"/>
      <c r="AA3" s="240"/>
      <c r="AB3" s="240"/>
      <c r="AC3" s="240"/>
      <c r="AD3" s="240"/>
    </row>
    <row r="4" spans="1:30" ht="15.75" thickBot="1" x14ac:dyDescent="0.3">
      <c r="A4" s="294"/>
      <c r="B4" s="293"/>
      <c r="C4" s="293"/>
      <c r="D4" s="293"/>
      <c r="E4" s="293"/>
      <c r="F4" s="293"/>
      <c r="G4" s="293"/>
      <c r="H4" s="293"/>
      <c r="I4" s="293"/>
      <c r="J4" s="293"/>
      <c r="K4" s="293"/>
      <c r="L4" s="293"/>
      <c r="M4" s="293"/>
      <c r="N4" s="240"/>
      <c r="O4" s="242" t="s">
        <v>359</v>
      </c>
      <c r="P4" s="270"/>
      <c r="Q4" s="240"/>
      <c r="R4" s="240"/>
      <c r="S4" s="240"/>
      <c r="T4" s="240"/>
      <c r="U4" s="240"/>
      <c r="V4" s="240"/>
      <c r="W4" s="240"/>
      <c r="X4" s="240"/>
      <c r="Y4" s="240"/>
      <c r="Z4" s="240"/>
      <c r="AA4" s="240"/>
      <c r="AB4" s="240"/>
      <c r="AC4" s="240"/>
      <c r="AD4" s="240"/>
    </row>
    <row r="5" spans="1:30" ht="67.5" customHeight="1" thickBot="1" x14ac:dyDescent="0.3">
      <c r="A5" s="294"/>
      <c r="B5" s="293"/>
      <c r="C5" s="293"/>
      <c r="D5" s="293"/>
      <c r="E5" s="293"/>
      <c r="F5" s="293"/>
      <c r="G5" s="293"/>
      <c r="H5" s="293"/>
      <c r="I5" s="293"/>
      <c r="J5" s="293"/>
      <c r="K5" s="293"/>
      <c r="L5" s="293"/>
      <c r="M5" s="293"/>
      <c r="N5" s="240"/>
      <c r="O5" s="243" t="s">
        <v>358</v>
      </c>
      <c r="P5" s="270"/>
      <c r="Q5" s="240"/>
      <c r="R5" s="240"/>
      <c r="S5" s="240"/>
      <c r="T5" s="240"/>
      <c r="U5" s="240"/>
      <c r="V5" s="240"/>
      <c r="W5" s="240"/>
      <c r="X5" s="240"/>
      <c r="Y5" s="240"/>
      <c r="Z5" s="240"/>
      <c r="AA5" s="240"/>
      <c r="AB5" s="240"/>
      <c r="AC5" s="240"/>
      <c r="AD5" s="240"/>
    </row>
    <row r="6" spans="1:30" ht="14.45" customHeight="1" thickBot="1" x14ac:dyDescent="0.3">
      <c r="A6" s="294">
        <v>2</v>
      </c>
      <c r="B6" s="292" t="s">
        <v>463</v>
      </c>
      <c r="C6" s="292"/>
      <c r="D6" s="292"/>
      <c r="E6" s="292"/>
      <c r="F6" s="292"/>
      <c r="G6" s="292"/>
      <c r="H6" s="292"/>
      <c r="I6" s="292"/>
      <c r="J6" s="292"/>
      <c r="K6" s="292"/>
      <c r="L6" s="292"/>
      <c r="M6" s="292"/>
      <c r="N6" s="240"/>
      <c r="O6" s="242" t="s">
        <v>360</v>
      </c>
      <c r="P6" s="270"/>
      <c r="Q6" s="240"/>
      <c r="R6" s="240"/>
      <c r="S6" s="240"/>
      <c r="T6" s="240"/>
      <c r="U6" s="240"/>
      <c r="V6" s="240"/>
      <c r="W6" s="240"/>
      <c r="X6" s="240"/>
      <c r="Y6" s="240"/>
      <c r="Z6" s="240"/>
      <c r="AA6" s="240"/>
      <c r="AB6" s="240"/>
      <c r="AC6" s="240"/>
      <c r="AD6" s="240"/>
    </row>
    <row r="7" spans="1:30" ht="21" customHeight="1" thickBot="1" x14ac:dyDescent="0.3">
      <c r="A7" s="294"/>
      <c r="B7" s="292"/>
      <c r="C7" s="292"/>
      <c r="D7" s="292"/>
      <c r="E7" s="292"/>
      <c r="F7" s="292"/>
      <c r="G7" s="292"/>
      <c r="H7" s="292"/>
      <c r="I7" s="292"/>
      <c r="J7" s="292"/>
      <c r="K7" s="292"/>
      <c r="L7" s="292"/>
      <c r="M7" s="292"/>
      <c r="N7" s="240"/>
      <c r="O7" s="241" t="s">
        <v>356</v>
      </c>
      <c r="P7" s="271"/>
      <c r="Q7" s="240"/>
      <c r="R7" s="240"/>
      <c r="S7" s="240"/>
      <c r="T7" s="240"/>
      <c r="U7" s="240"/>
      <c r="V7" s="240"/>
      <c r="W7" s="240"/>
      <c r="X7" s="240"/>
      <c r="Y7" s="240"/>
      <c r="Z7" s="240"/>
      <c r="AA7" s="240"/>
      <c r="AB7" s="240"/>
      <c r="AC7" s="240"/>
      <c r="AD7" s="240"/>
    </row>
    <row r="8" spans="1:30" ht="306.60000000000002" customHeight="1" thickBot="1" x14ac:dyDescent="0.3">
      <c r="A8" s="294"/>
      <c r="B8" s="292"/>
      <c r="C8" s="292"/>
      <c r="D8" s="292"/>
      <c r="E8" s="292"/>
      <c r="F8" s="292"/>
      <c r="G8" s="292"/>
      <c r="H8" s="292"/>
      <c r="I8" s="292"/>
      <c r="J8" s="292"/>
      <c r="K8" s="292"/>
      <c r="L8" s="292"/>
      <c r="M8" s="292"/>
      <c r="N8" s="240"/>
      <c r="O8" s="240"/>
      <c r="P8" s="240"/>
      <c r="Q8" s="240"/>
      <c r="R8" s="240"/>
      <c r="S8" s="240"/>
      <c r="T8" s="240"/>
      <c r="U8" s="240"/>
      <c r="V8" s="240"/>
      <c r="W8" s="240"/>
      <c r="X8" s="240"/>
      <c r="Y8" s="240"/>
      <c r="Z8" s="240"/>
      <c r="AA8" s="240"/>
      <c r="AB8" s="240"/>
      <c r="AC8" s="240"/>
      <c r="AD8" s="240"/>
    </row>
    <row r="9" spans="1:30" ht="96.75" customHeight="1" x14ac:dyDescent="0.25">
      <c r="A9" s="275">
        <v>3</v>
      </c>
      <c r="B9" s="288" t="s">
        <v>453</v>
      </c>
      <c r="C9" s="289"/>
      <c r="D9" s="289"/>
      <c r="E9" s="289"/>
      <c r="F9" s="289"/>
      <c r="G9" s="289"/>
      <c r="H9" s="289"/>
      <c r="I9" s="289"/>
      <c r="J9" s="289"/>
      <c r="K9" s="289"/>
      <c r="L9" s="289"/>
      <c r="M9" s="289"/>
      <c r="N9" s="240"/>
      <c r="O9" s="240"/>
      <c r="P9" s="240"/>
      <c r="Q9" s="240"/>
      <c r="R9" s="240"/>
      <c r="S9" s="240"/>
      <c r="T9" s="240"/>
      <c r="U9" s="240"/>
      <c r="V9" s="240"/>
      <c r="W9" s="240"/>
      <c r="X9" s="240"/>
      <c r="Y9" s="240"/>
      <c r="Z9" s="240"/>
      <c r="AA9" s="240"/>
      <c r="AB9" s="240"/>
      <c r="AC9" s="240"/>
      <c r="AD9" s="240"/>
    </row>
    <row r="10" spans="1:30" ht="16.149999999999999" customHeight="1" thickBot="1" x14ac:dyDescent="0.3">
      <c r="A10" s="276"/>
      <c r="B10" s="277"/>
      <c r="C10" s="278"/>
      <c r="D10" s="278"/>
      <c r="E10" s="278"/>
      <c r="F10" s="278"/>
      <c r="G10" s="278"/>
      <c r="H10" s="278"/>
      <c r="I10" s="278"/>
      <c r="J10" s="278"/>
      <c r="K10" s="278"/>
      <c r="L10" s="278"/>
      <c r="M10" s="279"/>
      <c r="N10" s="240"/>
      <c r="O10" s="240"/>
      <c r="P10" s="240"/>
      <c r="Q10" s="240"/>
      <c r="R10" s="240"/>
      <c r="S10" s="240"/>
      <c r="T10" s="240"/>
      <c r="U10" s="240"/>
      <c r="V10" s="240"/>
      <c r="W10" s="240"/>
      <c r="X10" s="240"/>
      <c r="Y10" s="240"/>
      <c r="Z10" s="240"/>
      <c r="AA10" s="240"/>
      <c r="AB10" s="240"/>
      <c r="AC10" s="240"/>
      <c r="AD10" s="240"/>
    </row>
    <row r="11" spans="1:30" s="240" customFormat="1" x14ac:dyDescent="0.25">
      <c r="M11" s="242" t="s">
        <v>462</v>
      </c>
      <c r="N11" s="245"/>
    </row>
    <row r="12" spans="1:30" s="240" customFormat="1" x14ac:dyDescent="0.25"/>
    <row r="13" spans="1:30" s="240" customFormat="1" x14ac:dyDescent="0.25"/>
    <row r="14" spans="1:30" s="240" customFormat="1" x14ac:dyDescent="0.25"/>
    <row r="15" spans="1:30" s="240" customFormat="1" x14ac:dyDescent="0.25"/>
    <row r="16" spans="1:30" s="240" customFormat="1" x14ac:dyDescent="0.25"/>
    <row r="17" s="240" customFormat="1" x14ac:dyDescent="0.25"/>
    <row r="18" s="240" customFormat="1" x14ac:dyDescent="0.25"/>
    <row r="19" s="240" customFormat="1" x14ac:dyDescent="0.25"/>
    <row r="20" s="240" customFormat="1" x14ac:dyDescent="0.25"/>
    <row r="21" s="240" customFormat="1" x14ac:dyDescent="0.25"/>
    <row r="22" s="240" customFormat="1" x14ac:dyDescent="0.25"/>
    <row r="23" s="240" customFormat="1" x14ac:dyDescent="0.25"/>
    <row r="24" s="240" customFormat="1" x14ac:dyDescent="0.25"/>
    <row r="25" s="240" customFormat="1" x14ac:dyDescent="0.25"/>
    <row r="26" s="240" customFormat="1" x14ac:dyDescent="0.25"/>
    <row r="27" s="240" customFormat="1" x14ac:dyDescent="0.25"/>
    <row r="28" s="240" customFormat="1" x14ac:dyDescent="0.25"/>
    <row r="29" s="240" customFormat="1" x14ac:dyDescent="0.25"/>
    <row r="30" s="240" customFormat="1" x14ac:dyDescent="0.25"/>
    <row r="31" s="240" customFormat="1" x14ac:dyDescent="0.25"/>
    <row r="32" s="240" customFormat="1" x14ac:dyDescent="0.25"/>
    <row r="33" s="240" customFormat="1" x14ac:dyDescent="0.25"/>
    <row r="34" s="240" customFormat="1" x14ac:dyDescent="0.25"/>
    <row r="35" s="240" customFormat="1" x14ac:dyDescent="0.25"/>
    <row r="36" s="240" customFormat="1" x14ac:dyDescent="0.25"/>
    <row r="37" s="240" customFormat="1" x14ac:dyDescent="0.25"/>
    <row r="38" s="240" customFormat="1" x14ac:dyDescent="0.25"/>
    <row r="39" s="240" customFormat="1" x14ac:dyDescent="0.25"/>
    <row r="40" s="240" customFormat="1" x14ac:dyDescent="0.25"/>
    <row r="41" s="240" customFormat="1" x14ac:dyDescent="0.25"/>
    <row r="42" s="240" customFormat="1" x14ac:dyDescent="0.25"/>
    <row r="43" s="240" customFormat="1" x14ac:dyDescent="0.25"/>
    <row r="44" s="240" customFormat="1" x14ac:dyDescent="0.25"/>
    <row r="45" s="240" customFormat="1" x14ac:dyDescent="0.25"/>
    <row r="46" s="240" customFormat="1" x14ac:dyDescent="0.25"/>
    <row r="47" s="240" customFormat="1" x14ac:dyDescent="0.25"/>
    <row r="48" s="240" customFormat="1" x14ac:dyDescent="0.25"/>
    <row r="49" s="240" customFormat="1" x14ac:dyDescent="0.25"/>
    <row r="50" s="240" customFormat="1" x14ac:dyDescent="0.25"/>
    <row r="51" s="240" customFormat="1" x14ac:dyDescent="0.25"/>
    <row r="52" s="240" customFormat="1" x14ac:dyDescent="0.25"/>
    <row r="53" s="240" customFormat="1" x14ac:dyDescent="0.25"/>
    <row r="54" s="240" customFormat="1" x14ac:dyDescent="0.25"/>
    <row r="55" s="240" customFormat="1" x14ac:dyDescent="0.25"/>
    <row r="56" s="240" customFormat="1" x14ac:dyDescent="0.25"/>
  </sheetData>
  <mergeCells count="7">
    <mergeCell ref="B9:M9"/>
    <mergeCell ref="B1:M2"/>
    <mergeCell ref="A1:A2"/>
    <mergeCell ref="B3:M5"/>
    <mergeCell ref="A3:A5"/>
    <mergeCell ref="B6:M8"/>
    <mergeCell ref="A6:A8"/>
  </mergeCells>
  <conditionalFormatting sqref="P4:P7">
    <cfRule type="containsBlanks" dxfId="63" priority="1">
      <formula>LEN(TRIM(P4))=0</formula>
    </cfRule>
  </conditionalFormatting>
  <dataValidations count="4">
    <dataValidation allowBlank="1" showInputMessage="1" showErrorMessage="1" promptTitle="Enter project name" prompt="Example:  Pinto Basin Road" sqref="P5" xr:uid="{00000000-0002-0000-0000-000000000000}"/>
    <dataValidation allowBlank="1" showInputMessage="1" showErrorMessage="1" promptTitle="Enter project number" prompt="Example:  CA FTNP JOTR 11(5)" sqref="P4" xr:uid="{00000000-0002-0000-0000-000001000000}"/>
    <dataValidation type="list" allowBlank="1" showInputMessage="1" showErrorMessage="1" error="Please use the drop-down menu to select the project units" promptTitle="Select Units" prompt="Select Metric or US Customary" sqref="P6" xr:uid="{00000000-0002-0000-0000-000002000000}">
      <formula1>"METRIC, US CUSTOMARY"</formula1>
    </dataValidation>
    <dataValidation type="list" allowBlank="1" showInputMessage="1" showErrorMessage="1" error="Please use the drop-down menu to select the FP version" promptTitle="Select FP Version" prompt="Select FP-14 or FP-24" sqref="P7" xr:uid="{00000000-0002-0000-0000-000003000000}">
      <formula1>" , FP-14, FP-24"</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3D8A-4A82-4010-8F46-E0C20DC20717}">
  <dimension ref="A1:M79"/>
  <sheetViews>
    <sheetView zoomScaleNormal="100" workbookViewId="0">
      <selection activeCell="R26" sqref="R26"/>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f>Instructions!P4</f>
        <v>0</v>
      </c>
      <c r="D5" s="41"/>
      <c r="E5" s="12"/>
      <c r="F5" s="12"/>
      <c r="G5" s="13"/>
      <c r="H5" s="14"/>
      <c r="I5" s="14" t="s">
        <v>4</v>
      </c>
      <c r="J5" s="15">
        <f ca="1" xml:space="preserve"> TODAY()</f>
        <v>46036</v>
      </c>
    </row>
    <row r="6" spans="1:10" ht="6" customHeight="1" x14ac:dyDescent="0.2">
      <c r="A6" s="11"/>
      <c r="B6" s="11"/>
      <c r="C6" s="274"/>
      <c r="D6" s="274"/>
      <c r="E6" s="12"/>
      <c r="F6" s="12"/>
      <c r="G6" s="13"/>
      <c r="H6" s="14"/>
      <c r="I6" s="14"/>
      <c r="J6" s="15"/>
    </row>
    <row r="7" spans="1:10" x14ac:dyDescent="0.2">
      <c r="A7" s="11" t="s">
        <v>3</v>
      </c>
      <c r="B7" s="11"/>
      <c r="C7" s="298">
        <f>Instructions!P5</f>
        <v>0</v>
      </c>
      <c r="D7" s="298"/>
      <c r="E7" s="298"/>
      <c r="F7" s="298"/>
      <c r="G7" s="298"/>
      <c r="H7" s="145"/>
      <c r="I7" s="145" t="s">
        <v>104</v>
      </c>
      <c r="J7" s="1" t="s">
        <v>433</v>
      </c>
    </row>
    <row r="8" spans="1:10" ht="6" customHeight="1" x14ac:dyDescent="0.2">
      <c r="A8" s="11"/>
      <c r="B8" s="11"/>
      <c r="C8" s="274"/>
      <c r="D8" s="274"/>
      <c r="E8" s="274"/>
      <c r="F8" s="274"/>
      <c r="G8" s="274"/>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273"/>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IFERROR(VLOOKUP(C15,inputSchE!$A$2:$F$188,6,FALSE),"")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IFERROR(VLOOKUP(C17,inputSchE!$A$2:$F$188,6,FALSE),"")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IFERROR(VLOOKUP(C19,inputSchE!$A$2:$F$188,6,FALSE),"")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IFERROR(VLOOKUP(C21,inputSchE!$A$2:$F$188,6,FALSE),"")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IFERROR(VLOOKUP(C23,inputSchE!$A$2:$F$188,6,FALSE),"")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IFERROR(VLOOKUP(C25,inputSchE!$A$2:$F$188,6,FALSE),"")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IFERROR(VLOOKUP(C40,inputSchE!$A$2:$F$188,6,FALSE),"")</f>
        <v/>
      </c>
      <c r="I40" s="239"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IFERROR(VLOOKUP(C42,inputSchE!$A$2:$F$188,6,FALSE),"")</f>
        <v/>
      </c>
      <c r="I42" s="239"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IFERROR(VLOOKUP(C44,inputSchE!$A$2:$F$188,6,FALSE),"")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IFERROR(VLOOKUP(C46,inputSchE!$A$2:$F$188,6,FALSE),"")</f>
        <v/>
      </c>
      <c r="I46" s="239" t="str">
        <f>IFERROR(H46/G46,"")</f>
        <v/>
      </c>
      <c r="J46" s="281" t="str">
        <f>IF(AND(ISNUMBER(E46),ISNUMBER(H46)),IF(E46*H46&gt;=1000,(E46*H46),"-"),"-")</f>
        <v>-</v>
      </c>
    </row>
    <row r="47" spans="1:10" x14ac:dyDescent="0.2">
      <c r="A47" s="295" t="s">
        <v>7</v>
      </c>
      <c r="B47" s="295"/>
      <c r="C47" s="295"/>
      <c r="D47" s="295"/>
      <c r="E47" s="295"/>
      <c r="F47" s="295"/>
      <c r="G47" s="295"/>
      <c r="H47" s="295"/>
      <c r="I47" s="272"/>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72"/>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187"/>
    </row>
    <row r="79" spans="1:10" x14ac:dyDescent="0.2">
      <c r="A79" s="39"/>
      <c r="B79" s="39"/>
      <c r="C79" s="280" t="s">
        <v>458</v>
      </c>
      <c r="D79" s="40"/>
      <c r="E79" s="8"/>
      <c r="F79" s="8"/>
      <c r="G79" s="9"/>
      <c r="H79" s="9"/>
      <c r="I79" s="9"/>
      <c r="J79" s="187" t="str">
        <f>Instructions!M11</f>
        <v>EFL-TM-ESS-01(13)</v>
      </c>
    </row>
  </sheetData>
  <dataConsolidate/>
  <mergeCells count="11">
    <mergeCell ref="A36:J36"/>
    <mergeCell ref="A1:J1"/>
    <mergeCell ref="C7:G7"/>
    <mergeCell ref="A12:J12"/>
    <mergeCell ref="A27:J27"/>
    <mergeCell ref="A28:J28"/>
    <mergeCell ref="A37:J37"/>
    <mergeCell ref="A47:H47"/>
    <mergeCell ref="A50:J50"/>
    <mergeCell ref="A51:J51"/>
    <mergeCell ref="A60:H60"/>
  </mergeCells>
  <conditionalFormatting sqref="H15">
    <cfRule type="expression" dxfId="22" priority="19">
      <formula>AND($H15=0,$E15&gt;0)=TRUE</formula>
    </cfRule>
  </conditionalFormatting>
  <conditionalFormatting sqref="H17">
    <cfRule type="expression" dxfId="21" priority="9">
      <formula>AND($H17=0,$E17&gt;0)=TRUE</formula>
    </cfRule>
  </conditionalFormatting>
  <conditionalFormatting sqref="H19">
    <cfRule type="expression" dxfId="20" priority="8">
      <formula>AND($H19=0,$E19&gt;0)=TRUE</formula>
    </cfRule>
  </conditionalFormatting>
  <conditionalFormatting sqref="H21">
    <cfRule type="expression" dxfId="19" priority="7">
      <formula>AND($H21=0,$E21&gt;0)=TRUE</formula>
    </cfRule>
  </conditionalFormatting>
  <conditionalFormatting sqref="H23">
    <cfRule type="expression" dxfId="18" priority="6">
      <formula>AND($H23=0,$E23&gt;0)=TRUE</formula>
    </cfRule>
  </conditionalFormatting>
  <conditionalFormatting sqref="H25">
    <cfRule type="expression" dxfId="17" priority="5">
      <formula>AND($H25=0,$E25&gt;0)=TRUE</formula>
    </cfRule>
  </conditionalFormatting>
  <conditionalFormatting sqref="H40">
    <cfRule type="expression" dxfId="16" priority="10">
      <formula>AND($H40=0,$E40&gt;0)=TRUE</formula>
    </cfRule>
  </conditionalFormatting>
  <conditionalFormatting sqref="H42">
    <cfRule type="expression" dxfId="15" priority="4">
      <formula>AND($H42=0,$E42&gt;0)=TRUE</formula>
    </cfRule>
  </conditionalFormatting>
  <conditionalFormatting sqref="H44">
    <cfRule type="expression" dxfId="14" priority="3">
      <formula>AND($H44=0,$E44&gt;0)=TRUE</formula>
    </cfRule>
  </conditionalFormatting>
  <conditionalFormatting sqref="H46">
    <cfRule type="expression" dxfId="13" priority="1">
      <formula>AND($H46=0,$E46&gt;0)=TRUE</formula>
    </cfRule>
  </conditionalFormatting>
  <dataValidations count="9">
    <dataValidation allowBlank="1" showInputMessage="1" showErrorMessage="1" prompt="If your Q_Ton unit price is highlighted in red, ensure quantity and unit price have both been entered, then check the line item in the &quot;inputSchA&quot; tab to review further instructions. " sqref="H15 H44 H40 H17 H19 H21 H23 H42 H25 H46" xr:uid="{C3F3A8E8-B528-4855-BDEC-DE5DEDBB740C}"/>
    <dataValidation type="list" allowBlank="1" showErrorMessage="1" promptTitle="Select Schedule Type " prompt="Select Schedule or Option " sqref="H7" xr:uid="{7A0005F4-522F-4F10-947A-B82D0BD59327}">
      <formula1>", Schedule: , Option: "</formula1>
    </dataValidation>
    <dataValidation type="list" allowBlank="1" showInputMessage="1" showErrorMessage="1" promptTitle="Select Schedule Type " prompt="Select Schedule or Option " sqref="I7" xr:uid="{1430ECA3-D21C-49E8-87F5-FA837838837D}">
      <formula1>", Schedule: , Option: "</formula1>
    </dataValidation>
    <dataValidation allowBlank="1" showErrorMessage="1" promptTitle="Enter project name" prompt="Example:  Pinto Basin Road" sqref="C7:G7" xr:uid="{128EF113-D6BC-498A-88F8-6946CEBC32F9}"/>
    <dataValidation allowBlank="1" showErrorMessage="1" promptTitle="Enter project number" prompt="Example:  CA FTNP JOTR 11(5)" sqref="C5:D5" xr:uid="{3ADEC3E8-8846-4620-A2CE-746F7EBA9042}"/>
    <dataValidation allowBlank="1" showInputMessage="1" showErrorMessage="1" error="Please use the drop-down menu to select the FP version" promptTitle="Select FP Version" prompt="In &quot;Instructions&quot; Tab" sqref="E3" xr:uid="{136F41F3-B673-4447-A6DB-86F212609592}"/>
    <dataValidation type="list" allowBlank="1" showInputMessage="1" showErrorMessage="1" error="Please use the drop-down menu to select the project units" promptTitle="Select Units" prompt="Select Metric or US Customary" sqref="J9" xr:uid="{5D2C1290-0433-410D-8C99-653806913585}">
      <formula1>"METRIC, US CUSTOMARY"</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1B08AA01-CFEB-4916-B01C-D1A4626504D4}">
      <formula1>"  , A, B, C, D, E, F, G, W, X, Y, Z"</formula1>
    </dataValidation>
    <dataValidation type="whole" operator="greaterThanOrEqual" allowBlank="1" showInputMessage="1" showErrorMessage="1" error="Bid decimals set to zero._x000a__x000a_Contact Heidi Hirsbrunner (X3622)_x000a_                _x000a_to modify Incentive Spreadsheet." sqref="E31 E33:E35 E40:E42 E44:E46" xr:uid="{7EC0EDBA-F947-4106-A3F7-458DA08646FC}">
      <formula1>0</formula1>
    </dataValidation>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9A66455-DDDF-4A89-B1B5-AF9244EF9CFE}">
          <x14:formula1>
            <xm:f>inputSchA!$A$2:$A$143</xm:f>
          </x14:formula1>
          <xm:sqref>C15 C17 C19 C21 C23 C25</xm:sqref>
        </x14:dataValidation>
        <x14:dataValidation type="list" allowBlank="1" showInputMessage="1" showErrorMessage="1" prompt="For FP-24 Projects, select applicable 404 pay item from the list_x000a_For FP-14 Projects, select pay item 43101-0000 or 43102-0000 from the list" xr:uid="{440270B5-AA22-41B8-9F96-32828C2BC38C}">
          <x14:formula1>
            <xm:f>inputSchA!$A$136:$A$143</xm:f>
          </x14:formula1>
          <xm:sqref>C46 C40 C42 C44</xm:sqref>
        </x14:dataValidation>
        <x14:dataValidation type="list" allowBlank="1" showInputMessage="1" showErrorMessage="1" xr:uid="{CCC4AAC8-D468-49D9-8B80-58058DD54A54}">
          <x14:formula1>
            <xm:f>inputSchA!$A$144:$A$188</xm:f>
          </x14:formula1>
          <xm:sqref>A54 C35 C33 A58 A56 C31</xm:sqref>
        </x14:dataValidation>
        <x14:dataValidation type="list" allowBlank="1" showInputMessage="1" showErrorMessage="1" xr:uid="{C965BDA8-9078-4575-9623-8C43958CBABA}">
          <x14:formula1>
            <xm:f>inputSchA!$A$142:$A$142</xm:f>
          </x14:formula1>
          <xm:sqref>C45</xm:sqref>
        </x14:dataValidation>
        <x14:dataValidation type="list" allowBlank="1" showInputMessage="1" showErrorMessage="1" xr:uid="{1F0A582F-E572-441C-A319-C82D6BC20732}">
          <x14:formula1>
            <xm:f>inputSchA!$A$144:$A$172</xm:f>
          </x14:formula1>
          <xm:sqref>C41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1346A-554D-4C71-8FF2-1E54F83651FF}">
  <dimension ref="A1:P188"/>
  <sheetViews>
    <sheetView workbookViewId="0">
      <pane xSplit="3" ySplit="1" topLeftCell="D117" activePane="bottomRight" state="frozen"/>
      <selection activeCell="T35" sqref="T35"/>
      <selection pane="topRight" activeCell="T35" sqref="T35"/>
      <selection pane="bottomLeft" activeCell="T35" sqref="T35"/>
      <selection pane="bottomRight" activeCell="F136" sqref="F136:F143"/>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E'!$C$15:$E$58,3,FALSE),"")</f>
        <v/>
      </c>
      <c r="E2" s="238" t="str">
        <f>IFERROR(VLOOKUP($A2,'SCH E'!$C$15:$G$58,5,FALSE),"")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E'!$C$15:$E$58,3,FALSE),"")</f>
        <v/>
      </c>
      <c r="E3" s="238" t="str">
        <f>IFERROR(VLOOKUP($A3,'SCH E'!$C$15:$G$58,5,FALSE),"")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E'!$C$15:$E$58,3,FALSE),"")</f>
        <v/>
      </c>
      <c r="E4" s="238" t="str">
        <f>IFERROR(VLOOKUP($A4,'SCH E'!$C$15:$G$58,5,FALSE),"")</f>
        <v/>
      </c>
      <c r="F4" s="26" t="e">
        <f t="shared" si="0"/>
        <v>#VALUE!</v>
      </c>
    </row>
    <row r="5" spans="1:6" x14ac:dyDescent="0.25">
      <c r="A5" s="205" t="s">
        <v>146</v>
      </c>
      <c r="B5" s="205" t="s">
        <v>200</v>
      </c>
      <c r="C5" s="207" t="s">
        <v>197</v>
      </c>
      <c r="D5" s="223" t="str">
        <f>IFERROR(VLOOKUP($A5,'SCH E'!$C$15:$E$58,3,FALSE),"")</f>
        <v/>
      </c>
      <c r="E5" s="238" t="str">
        <f>IFERROR(VLOOKUP($A5,'SCH E'!$C$15:$G$58,5,FALSE),"")</f>
        <v/>
      </c>
      <c r="F5" s="26" t="e">
        <f t="shared" si="0"/>
        <v>#VALUE!</v>
      </c>
    </row>
    <row r="6" spans="1:6" x14ac:dyDescent="0.25">
      <c r="A6" s="204" t="s">
        <v>147</v>
      </c>
      <c r="B6" s="204" t="s">
        <v>201</v>
      </c>
      <c r="C6" s="206" t="s">
        <v>197</v>
      </c>
      <c r="D6" s="223" t="str">
        <f>IFERROR(VLOOKUP($A6,'SCH E'!$C$15:$E$58,3,FALSE),"")</f>
        <v/>
      </c>
      <c r="E6" s="238" t="str">
        <f>IFERROR(VLOOKUP($A6,'SCH E'!$C$15:$G$58,5,FALSE),"")</f>
        <v/>
      </c>
      <c r="F6" s="26" t="e">
        <f t="shared" si="0"/>
        <v>#VALUE!</v>
      </c>
    </row>
    <row r="7" spans="1:6" x14ac:dyDescent="0.25">
      <c r="A7" s="205" t="s">
        <v>148</v>
      </c>
      <c r="B7" s="205" t="s">
        <v>196</v>
      </c>
      <c r="C7" s="207" t="s">
        <v>29</v>
      </c>
      <c r="D7" s="223" t="str">
        <f>IFERROR(VLOOKUP($A7,'SCH E'!$C$15:$E$58,3,FALSE),"")</f>
        <v/>
      </c>
      <c r="E7" s="238" t="str">
        <f>IFERROR(VLOOKUP($A7,'SCH E'!$C$15:$G$58,5,FALSE),"")</f>
        <v/>
      </c>
      <c r="F7" s="224"/>
    </row>
    <row r="8" spans="1:6" x14ac:dyDescent="0.25">
      <c r="A8" s="204" t="s">
        <v>149</v>
      </c>
      <c r="B8" s="204" t="s">
        <v>202</v>
      </c>
      <c r="C8" s="206" t="s">
        <v>29</v>
      </c>
      <c r="D8" s="223" t="str">
        <f>IFERROR(VLOOKUP($A8,'SCH E'!$C$15:$E$58,3,FALSE),"")</f>
        <v/>
      </c>
      <c r="E8" s="238" t="str">
        <f>IFERROR(VLOOKUP($A8,'SCH E'!$C$15:$G$58,5,FALSE),"")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E'!$C$15:$E$58,3,FALSE),"")</f>
        <v/>
      </c>
      <c r="E9" s="238" t="str">
        <f>IFERROR(VLOOKUP($A9,'SCH E'!$C$15:$G$58,5,FALSE),"")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E'!$C$15:$E$58,3,FALSE),"")</f>
        <v/>
      </c>
      <c r="E10" s="238" t="str">
        <f>IFERROR(VLOOKUP($A10,'SCH E'!$C$15:$G$58,5,FALSE),"")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E'!$C$15:$E$58,3,FALSE),"")</f>
        <v/>
      </c>
      <c r="E11" s="238" t="str">
        <f>IFERROR(VLOOKUP($A11,'SCH E'!$C$15:$G$58,5,FALSE),"")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E'!$C$15:$E$58,3,FALSE),"")</f>
        <v/>
      </c>
      <c r="E12" s="238" t="str">
        <f>IFERROR(VLOOKUP($A12,'SCH E'!$C$15:$G$58,5,FALSE),"")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E'!$C$15:$E$58,3,FALSE),"")</f>
        <v/>
      </c>
      <c r="E13" s="238" t="str">
        <f>IFERROR(VLOOKUP($A13,'SCH E'!$C$15:$G$58,5,FALSE),"")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E'!$C$15:$E$58,3,FALSE),"")</f>
        <v/>
      </c>
      <c r="E14" s="238" t="str">
        <f>IFERROR(VLOOKUP($A14,'SCH E'!$C$15:$G$58,5,FALSE),"")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E'!$C$15:$E$58,3,FALSE),"")</f>
        <v/>
      </c>
      <c r="E15" s="238" t="str">
        <f>IFERROR(VLOOKUP($A15,'SCH E'!$C$15:$G$58,5,FALSE),"")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E'!$C$15:$E$58,3,FALSE),"")</f>
        <v/>
      </c>
      <c r="E16" s="238" t="str">
        <f>IFERROR(VLOOKUP($A16,'SCH E'!$C$15:$G$58,5,FALSE),"")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E'!$C$15:$E$58,3,FALSE),"")</f>
        <v/>
      </c>
      <c r="E17" s="238" t="str">
        <f>IFERROR(VLOOKUP($A17,'SCH E'!$C$15:$G$58,5,FALSE),"")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E'!$C$15:$E$58,3,FALSE),"")</f>
        <v/>
      </c>
      <c r="E18" s="238" t="str">
        <f>IFERROR(VLOOKUP($A18,'SCH E'!$C$15:$G$58,5,FALSE),"")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E'!$C$15:$E$58,3,FALSE),"")</f>
        <v/>
      </c>
      <c r="E19" s="238" t="str">
        <f>IFERROR(VLOOKUP($A19,'SCH E'!$C$15:$G$58,5,FALSE),"")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E'!$C$15:$E$58,3,FALSE),"")</f>
        <v/>
      </c>
      <c r="E20" s="238" t="str">
        <f>IFERROR(VLOOKUP($A20,'SCH E'!$C$15:$G$58,5,FALSE),"")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E'!$C$15:$E$58,3,FALSE),"")</f>
        <v/>
      </c>
      <c r="E21" s="238" t="str">
        <f>IFERROR(VLOOKUP($A21,'SCH E'!$C$15:$G$58,5,FALSE),"")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E'!$C$15:$E$58,3,FALSE),"")</f>
        <v/>
      </c>
      <c r="E22" s="238" t="str">
        <f>IFERROR(VLOOKUP($A22,'SCH E'!$C$15:$G$58,5,FALSE),"")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E'!$C$15:$E$58,3,FALSE),"")</f>
        <v/>
      </c>
      <c r="E23" s="238" t="str">
        <f>IFERROR(VLOOKUP($A23,'SCH E'!$C$15:$G$58,5,FALSE),"")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E'!$C$15:$E$58,3,FALSE),"")</f>
        <v/>
      </c>
      <c r="E24" s="238" t="str">
        <f>IFERROR(VLOOKUP($A24,'SCH E'!$C$15:$G$58,5,FALSE),"")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E'!$C$15:$E$58,3,FALSE),"")</f>
        <v/>
      </c>
      <c r="E25" s="238" t="str">
        <f>IFERROR(VLOOKUP($A25,'SCH E'!$C$15:$G$58,5,FALSE),"")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E'!$C$15:$E$58,3,FALSE),"")</f>
        <v/>
      </c>
      <c r="E26" s="238" t="str">
        <f>IFERROR(VLOOKUP($A26,'SCH E'!$C$15:$G$58,5,FALSE),"")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E'!$C$15:$E$58,3,FALSE),"")</f>
        <v/>
      </c>
      <c r="E27" s="238" t="str">
        <f>IFERROR(VLOOKUP($A27,'SCH E'!$C$15:$G$58,5,FALSE),"")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E'!$C$15:$E$58,3,FALSE),"")</f>
        <v/>
      </c>
      <c r="E28" s="238" t="str">
        <f>IFERROR(VLOOKUP($A28,'SCH E'!$C$15:$G$58,5,FALSE),"")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E'!$C$15:$E$58,3,FALSE),"")</f>
        <v/>
      </c>
      <c r="E29" s="238" t="str">
        <f>IFERROR(VLOOKUP($A29,'SCH E'!$C$15:$G$58,5,FALSE),"")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E'!$C$15:$E$58,3,FALSE),"")</f>
        <v/>
      </c>
      <c r="E30" s="238" t="str">
        <f>IFERROR(VLOOKUP($A30,'SCH E'!$C$15:$G$58,5,FALSE),"")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E'!$C$15:$E$58,3,FALSE),"")</f>
        <v/>
      </c>
      <c r="E31" s="238" t="str">
        <f>IFERROR(VLOOKUP($A31,'SCH E'!$C$15:$G$58,5,FALSE),"")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E'!$C$15:$E$58,3,FALSE),"")</f>
        <v/>
      </c>
      <c r="E32" s="238" t="str">
        <f>IFERROR(VLOOKUP($A32,'SCH E'!$C$15:$G$58,5,FALSE),"")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E'!$C$15:$E$58,3,FALSE),"")</f>
        <v/>
      </c>
      <c r="E33" s="238" t="str">
        <f>IFERROR(VLOOKUP($A33,'SCH E'!$C$15:$G$58,5,FALSE),"")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E'!$C$15:$E$58,3,FALSE),"")</f>
        <v/>
      </c>
      <c r="E34" s="238" t="str">
        <f>IFERROR(VLOOKUP($A34,'SCH E'!$C$15:$G$58,5,FALSE),"")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E'!$C$15:$E$58,3,FALSE),"")</f>
        <v/>
      </c>
      <c r="E35" s="238" t="str">
        <f>IFERROR(VLOOKUP($A35,'SCH E'!$C$15:$G$58,5,FALSE),"")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E'!$C$15:$E$58,3,FALSE),"")</f>
        <v/>
      </c>
      <c r="E36" s="238" t="str">
        <f>IFERROR(VLOOKUP($A36,'SCH E'!$C$15:$G$58,5,FALSE),"")</f>
        <v/>
      </c>
      <c r="F36" s="26" t="e">
        <f t="shared" si="1"/>
        <v>#VALUE!</v>
      </c>
    </row>
    <row r="37" spans="1:6" x14ac:dyDescent="0.25">
      <c r="A37" s="205" t="s">
        <v>141</v>
      </c>
      <c r="B37" s="205" t="s">
        <v>201</v>
      </c>
      <c r="C37" s="207" t="s">
        <v>227</v>
      </c>
      <c r="D37" s="223" t="str">
        <f>IFERROR(VLOOKUP($A37,'SCH E'!$C$15:$E$58,3,FALSE),"")</f>
        <v/>
      </c>
      <c r="E37" s="238" t="str">
        <f>IFERROR(VLOOKUP($A37,'SCH E'!$C$15:$G$58,5,FALSE),"")</f>
        <v/>
      </c>
      <c r="F37" s="26" t="e">
        <f t="shared" si="1"/>
        <v>#VALUE!</v>
      </c>
    </row>
    <row r="38" spans="1:6" x14ac:dyDescent="0.25">
      <c r="A38" s="204" t="s">
        <v>178</v>
      </c>
      <c r="B38" s="204" t="s">
        <v>228</v>
      </c>
      <c r="C38" s="206" t="s">
        <v>197</v>
      </c>
      <c r="D38" s="223" t="str">
        <f>IFERROR(VLOOKUP($A38,'SCH E'!$C$15:$E$58,3,FALSE),"")</f>
        <v/>
      </c>
      <c r="E38" s="238" t="str">
        <f>IFERROR(VLOOKUP($A38,'SCH E'!$C$15:$G$58,5,FALSE),"")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E'!$C$15:$E$58,3,FALSE),"")</f>
        <v/>
      </c>
      <c r="E39" s="238" t="str">
        <f>IFERROR(VLOOKUP($A39,'SCH E'!$C$15:$G$58,5,FALSE),"")</f>
        <v/>
      </c>
      <c r="F39" s="26" t="e">
        <f t="shared" si="2"/>
        <v>#VALUE!</v>
      </c>
    </row>
    <row r="40" spans="1:6" x14ac:dyDescent="0.25">
      <c r="A40" s="204" t="s">
        <v>180</v>
      </c>
      <c r="B40" s="204" t="s">
        <v>230</v>
      </c>
      <c r="C40" s="206" t="s">
        <v>197</v>
      </c>
      <c r="D40" s="223" t="str">
        <f>IFERROR(VLOOKUP($A40,'SCH E'!$C$15:$E$58,3,FALSE),"")</f>
        <v/>
      </c>
      <c r="E40" s="238" t="str">
        <f>IFERROR(VLOOKUP($A40,'SCH E'!$C$15:$G$58,5,FALSE),"")</f>
        <v/>
      </c>
      <c r="F40" s="26" t="e">
        <f t="shared" si="2"/>
        <v>#VALUE!</v>
      </c>
    </row>
    <row r="41" spans="1:6" x14ac:dyDescent="0.25">
      <c r="A41" s="205" t="s">
        <v>181</v>
      </c>
      <c r="B41" s="205" t="s">
        <v>231</v>
      </c>
      <c r="C41" s="207" t="s">
        <v>29</v>
      </c>
      <c r="D41" s="223" t="str">
        <f>IFERROR(VLOOKUP($A41,'SCH E'!$C$15:$E$58,3,FALSE),"")</f>
        <v/>
      </c>
      <c r="E41" s="238" t="str">
        <f>IFERROR(VLOOKUP($A41,'SCH E'!$C$15:$G$58,5,FALSE),"")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E'!$C$15:$E$58,3,FALSE),"")</f>
        <v/>
      </c>
      <c r="E42" s="238" t="str">
        <f>IFERROR(VLOOKUP($A42,'SCH E'!$C$15:$G$58,5,FALSE),"")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E'!$C$15:$E$58,3,FALSE),"")</f>
        <v/>
      </c>
      <c r="E43" s="238" t="str">
        <f>IFERROR(VLOOKUP($A43,'SCH E'!$C$15:$G$58,5,FALSE),"")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E'!$C$15:$E$58,3,FALSE),"")</f>
        <v/>
      </c>
      <c r="E44" s="238" t="str">
        <f>IFERROR(VLOOKUP($A44,'SCH E'!$C$15:$G$58,5,FALSE),"")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E'!$C$15:$E$58,3,FALSE),"")</f>
        <v/>
      </c>
      <c r="E45" s="238" t="str">
        <f>IFERROR(VLOOKUP($A45,'SCH E'!$C$15:$G$58,5,FALSE),"")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E'!$C$15:$E$58,3,FALSE),"")</f>
        <v/>
      </c>
      <c r="E46" s="238" t="str">
        <f>IFERROR(VLOOKUP($A46,'SCH E'!$C$15:$G$58,5,FALSE),"")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E'!$C$15:$E$58,3,FALSE),"")</f>
        <v/>
      </c>
      <c r="E47" s="238" t="str">
        <f>IFERROR(VLOOKUP($A47,'SCH E'!$C$15:$G$58,5,FALSE),"")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E'!$C$15:$E$58,3,FALSE),"")</f>
        <v/>
      </c>
      <c r="E48" s="238" t="str">
        <f>IFERROR(VLOOKUP($A48,'SCH E'!$C$15:$G$58,5,FALSE),"")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E'!$C$15:$E$58,3,FALSE),"")</f>
        <v/>
      </c>
      <c r="E49" s="238" t="str">
        <f>IFERROR(VLOOKUP($A49,'SCH E'!$C$15:$G$58,5,FALSE),"")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E'!$C$15:$E$58,3,FALSE),"")</f>
        <v/>
      </c>
      <c r="E50" s="238" t="str">
        <f>IFERROR(VLOOKUP($A50,'SCH E'!$C$15:$G$58,5,FALSE),"")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E'!$C$15:$E$58,3,FALSE),"")</f>
        <v/>
      </c>
      <c r="E51" s="238" t="str">
        <f>IFERROR(VLOOKUP($A51,'SCH E'!$C$15:$G$58,5,FALSE),"")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E'!$C$15:$E$58,3,FALSE),"")</f>
        <v/>
      </c>
      <c r="E52" s="238" t="str">
        <f>IFERROR(VLOOKUP($A52,'SCH E'!$C$15:$G$58,5,FALSE),"")</f>
        <v/>
      </c>
      <c r="F52" s="26" t="e">
        <f t="shared" si="3"/>
        <v>#VALUE!</v>
      </c>
    </row>
    <row r="53" spans="1:6" x14ac:dyDescent="0.25">
      <c r="A53" s="205" t="s">
        <v>193</v>
      </c>
      <c r="B53" s="205" t="s">
        <v>230</v>
      </c>
      <c r="C53" s="207" t="s">
        <v>227</v>
      </c>
      <c r="D53" s="223" t="str">
        <f>IFERROR(VLOOKUP($A53,'SCH E'!$C$15:$E$58,3,FALSE),"")</f>
        <v/>
      </c>
      <c r="E53" s="238" t="str">
        <f>IFERROR(VLOOKUP($A53,'SCH E'!$C$15:$G$58,5,FALSE),"")</f>
        <v/>
      </c>
      <c r="F53" s="26" t="e">
        <f t="shared" si="3"/>
        <v>#VALUE!</v>
      </c>
    </row>
    <row r="54" spans="1:6" x14ac:dyDescent="0.25">
      <c r="A54" s="204" t="s">
        <v>194</v>
      </c>
      <c r="B54" s="204" t="s">
        <v>241</v>
      </c>
      <c r="C54" s="206" t="s">
        <v>197</v>
      </c>
      <c r="D54" s="223" t="str">
        <f>IFERROR(VLOOKUP($A54,'SCH E'!$C$15:$E$58,3,FALSE),"")</f>
        <v/>
      </c>
      <c r="E54" s="238" t="str">
        <f>IFERROR(VLOOKUP($A54,'SCH E'!$C$15:$G$58,5,FALSE),"")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E'!$C$15:$E$58,3,FALSE),"")</f>
        <v/>
      </c>
      <c r="E55" s="238" t="str">
        <f>IFERROR(VLOOKUP($A55,'SCH E'!$C$15:$G$58,5,FALSE),"")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E'!$C$15:$E$58,3,FALSE),"")</f>
        <v/>
      </c>
      <c r="E56" s="238" t="str">
        <f>IFERROR(VLOOKUP($A56,'SCH E'!$C$15:$G$58,5,FALSE),"")</f>
        <v/>
      </c>
      <c r="F56" s="26" t="e">
        <f t="shared" si="4"/>
        <v>#VALUE!</v>
      </c>
    </row>
    <row r="57" spans="1:6" x14ac:dyDescent="0.25">
      <c r="A57" s="247" t="s">
        <v>364</v>
      </c>
      <c r="B57" s="249" t="s">
        <v>367</v>
      </c>
      <c r="C57" s="206" t="s">
        <v>197</v>
      </c>
      <c r="D57" s="223" t="str">
        <f>IFERROR(VLOOKUP($A57,'SCH E'!$C$15:$E$58,3,FALSE),"")</f>
        <v/>
      </c>
      <c r="E57" s="238" t="str">
        <f>IFERROR(VLOOKUP($A57,'SCH E'!$C$15:$G$58,5,FALSE),"")</f>
        <v/>
      </c>
      <c r="F57" s="26" t="e">
        <f t="shared" si="4"/>
        <v>#VALUE!</v>
      </c>
    </row>
    <row r="58" spans="1:6" x14ac:dyDescent="0.25">
      <c r="A58" s="248" t="s">
        <v>368</v>
      </c>
      <c r="B58" s="250" t="s">
        <v>241</v>
      </c>
      <c r="C58" s="250" t="s">
        <v>29</v>
      </c>
      <c r="D58" s="223" t="str">
        <f>IFERROR(VLOOKUP($A58,'SCH E'!$C$15:$E$58,3,FALSE),"")</f>
        <v/>
      </c>
      <c r="E58" s="238" t="str">
        <f>IFERROR(VLOOKUP($A58,'SCH E'!$C$15:$G$58,5,FALSE),"")</f>
        <v/>
      </c>
      <c r="F58" s="26"/>
    </row>
    <row r="59" spans="1:6" x14ac:dyDescent="0.25">
      <c r="A59" s="247" t="s">
        <v>369</v>
      </c>
      <c r="B59" s="249" t="s">
        <v>386</v>
      </c>
      <c r="C59" s="249" t="s">
        <v>29</v>
      </c>
      <c r="D59" s="223" t="str">
        <f>IFERROR(VLOOKUP($A59,'SCH E'!$C$15:$E$58,3,FALSE),"")</f>
        <v/>
      </c>
      <c r="E59" s="238" t="str">
        <f>IFERROR(VLOOKUP($A59,'SCH E'!$C$15:$G$58,5,FALSE),"")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E'!$C$15:$E$58,3,FALSE),"")</f>
        <v/>
      </c>
      <c r="E60" s="238" t="str">
        <f>IFERROR(VLOOKUP($A60,'SCH E'!$C$15:$G$58,5,FALSE),"")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E'!$C$15:$E$58,3,FALSE),"")</f>
        <v/>
      </c>
      <c r="E61" s="238" t="str">
        <f>IFERROR(VLOOKUP($A61,'SCH E'!$C$15:$G$58,5,FALSE),"")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E'!$C$15:$E$58,3,FALSE),"")</f>
        <v/>
      </c>
      <c r="E62" s="238" t="str">
        <f>IFERROR(VLOOKUP($A62,'SCH E'!$C$15:$G$58,5,FALSE),"")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E'!$C$15:$E$58,3,FALSE),"")</f>
        <v/>
      </c>
      <c r="E63" s="238" t="str">
        <f>IFERROR(VLOOKUP($A63,'SCH E'!$C$15:$G$58,5,FALSE),"")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E'!$C$15:$E$58,3,FALSE),"")</f>
        <v/>
      </c>
      <c r="E64" s="238" t="str">
        <f>IFERROR(VLOOKUP($A64,'SCH E'!$C$15:$G$58,5,FALSE),"")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E'!$C$15:$E$58,3,FALSE),"")</f>
        <v/>
      </c>
      <c r="E65" s="238" t="str">
        <f>IFERROR(VLOOKUP($A65,'SCH E'!$C$15:$G$58,5,FALSE),"")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E'!$C$15:$E$58,3,FALSE),"")</f>
        <v/>
      </c>
      <c r="E66" s="238" t="str">
        <f>IFERROR(VLOOKUP($A66,'SCH E'!$C$15:$G$58,5,FALSE),"")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E'!$C$15:$E$58,3,FALSE),"")</f>
        <v/>
      </c>
      <c r="E67" s="238" t="str">
        <f>IFERROR(VLOOKUP($A67,'SCH E'!$C$15:$G$58,5,FALSE),"")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E'!$C$15:$E$58,3,FALSE),"")</f>
        <v/>
      </c>
      <c r="E68" s="238" t="str">
        <f>IFERROR(VLOOKUP($A68,'SCH E'!$C$15:$G$58,5,FALSE),"")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E'!$C$15:$E$58,3,FALSE),"")</f>
        <v/>
      </c>
      <c r="E69" s="238" t="str">
        <f>IFERROR(VLOOKUP($A69,'SCH E'!$C$15:$G$58,5,FALSE),"")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E'!$C$15:$E$58,3,FALSE),"")</f>
        <v/>
      </c>
      <c r="E70" s="238" t="str">
        <f>IFERROR(VLOOKUP($A70,'SCH E'!$C$15:$G$58,5,FALSE),"")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E'!$C$15:$E$58,3,FALSE),"")</f>
        <v/>
      </c>
      <c r="E71" s="238" t="str">
        <f>IFERROR(VLOOKUP($A71,'SCH E'!$C$15:$G$58,5,FALSE),"")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E'!$C$15:$E$58,3,FALSE),"")</f>
        <v/>
      </c>
      <c r="E72" s="238" t="str">
        <f>IFERROR(VLOOKUP($A72,'SCH E'!$C$15:$G$58,5,FALSE),"")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E'!$C$15:$E$58,3,FALSE),"")</f>
        <v/>
      </c>
      <c r="E73" s="238" t="str">
        <f>IFERROR(VLOOKUP($A73,'SCH E'!$C$15:$G$58,5,FALSE),"")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E'!$C$15:$E$58,3,FALSE),"")</f>
        <v/>
      </c>
      <c r="E74" s="238" t="str">
        <f>IFERROR(VLOOKUP($A74,'SCH E'!$C$15:$G$58,5,FALSE),"")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E'!$C$15:$E$58,3,FALSE),"")</f>
        <v/>
      </c>
      <c r="E75" s="238" t="str">
        <f>IFERROR(VLOOKUP($A75,'SCH E'!$C$15:$G$58,5,FALSE),"")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E'!$C$15:$E$58,3,FALSE),"")</f>
        <v/>
      </c>
      <c r="E76" s="238" t="str">
        <f>IFERROR(VLOOKUP($A76,'SCH E'!$C$15:$G$58,5,FALSE),"")</f>
        <v/>
      </c>
      <c r="F76" s="26" t="e">
        <f t="shared" si="5"/>
        <v>#VALUE!</v>
      </c>
    </row>
    <row r="77" spans="1:6" x14ac:dyDescent="0.25">
      <c r="A77" s="247" t="s">
        <v>385</v>
      </c>
      <c r="B77" s="249" t="s">
        <v>367</v>
      </c>
      <c r="C77" s="249" t="s">
        <v>227</v>
      </c>
      <c r="D77" s="223" t="str">
        <f>IFERROR(VLOOKUP($A77,'SCH E'!$C$15:$E$58,3,FALSE),"")</f>
        <v/>
      </c>
      <c r="E77" s="238" t="str">
        <f>IFERROR(VLOOKUP($A77,'SCH E'!$C$15:$G$58,5,FALSE),"")</f>
        <v/>
      </c>
      <c r="F77" s="26" t="e">
        <f t="shared" si="5"/>
        <v>#VALUE!</v>
      </c>
    </row>
    <row r="78" spans="1:6" x14ac:dyDescent="0.25">
      <c r="A78" s="255" t="s">
        <v>401</v>
      </c>
      <c r="B78" s="256" t="s">
        <v>261</v>
      </c>
      <c r="C78" s="256" t="s">
        <v>197</v>
      </c>
      <c r="D78" s="223" t="str">
        <f>IFERROR(VLOOKUP($A78,'SCH E'!$C$15:$E$58,3,FALSE),"")</f>
        <v/>
      </c>
      <c r="E78" s="238" t="str">
        <f>IFERROR(VLOOKUP($A78,'SCH E'!$C$15:$G$58,5,FALSE),"")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E'!$C$15:$E$58,3,FALSE),"")</f>
        <v/>
      </c>
      <c r="E79" s="238" t="str">
        <f>IFERROR(VLOOKUP($A79,'SCH E'!$C$15:$G$58,5,FALSE),"")</f>
        <v/>
      </c>
      <c r="F79" s="26" t="e">
        <f t="shared" si="6"/>
        <v>#VALUE!</v>
      </c>
    </row>
    <row r="80" spans="1:6" x14ac:dyDescent="0.25">
      <c r="A80" s="255" t="s">
        <v>403</v>
      </c>
      <c r="B80" s="256" t="s">
        <v>263</v>
      </c>
      <c r="C80" s="256" t="s">
        <v>197</v>
      </c>
      <c r="D80" s="223" t="str">
        <f>IFERROR(VLOOKUP($A80,'SCH E'!$C$15:$E$58,3,FALSE),"")</f>
        <v/>
      </c>
      <c r="E80" s="238" t="str">
        <f>IFERROR(VLOOKUP($A80,'SCH E'!$C$15:$G$58,5,FALSE),"")</f>
        <v/>
      </c>
      <c r="F80" s="26" t="e">
        <f t="shared" si="6"/>
        <v>#VALUE!</v>
      </c>
    </row>
    <row r="81" spans="1:6" x14ac:dyDescent="0.25">
      <c r="A81" s="257" t="s">
        <v>404</v>
      </c>
      <c r="B81" s="258" t="s">
        <v>264</v>
      </c>
      <c r="C81" s="258" t="s">
        <v>197</v>
      </c>
      <c r="D81" s="223" t="str">
        <f>IFERROR(VLOOKUP($A81,'SCH E'!$C$15:$E$58,3,FALSE),"")</f>
        <v/>
      </c>
      <c r="E81" s="238" t="str">
        <f>IFERROR(VLOOKUP($A81,'SCH E'!$C$15:$G$58,5,FALSE),"")</f>
        <v/>
      </c>
      <c r="F81" s="26" t="e">
        <f t="shared" si="6"/>
        <v>#VALUE!</v>
      </c>
    </row>
    <row r="82" spans="1:6" x14ac:dyDescent="0.25">
      <c r="A82" s="255" t="s">
        <v>405</v>
      </c>
      <c r="B82" s="256" t="s">
        <v>265</v>
      </c>
      <c r="C82" s="256" t="s">
        <v>197</v>
      </c>
      <c r="D82" s="223" t="str">
        <f>IFERROR(VLOOKUP($A82,'SCH E'!$C$15:$E$58,3,FALSE),"")</f>
        <v/>
      </c>
      <c r="E82" s="238" t="str">
        <f>IFERROR(VLOOKUP($A82,'SCH E'!$C$15:$G$58,5,FALSE),"")</f>
        <v/>
      </c>
      <c r="F82" s="26" t="e">
        <f t="shared" si="6"/>
        <v>#VALUE!</v>
      </c>
    </row>
    <row r="83" spans="1:6" x14ac:dyDescent="0.25">
      <c r="A83" s="257" t="s">
        <v>406</v>
      </c>
      <c r="B83" s="258" t="s">
        <v>261</v>
      </c>
      <c r="C83" s="258" t="s">
        <v>29</v>
      </c>
      <c r="D83" s="223" t="str">
        <f>IFERROR(VLOOKUP($A83,'SCH E'!$C$15:$E$58,3,FALSE),"")</f>
        <v/>
      </c>
      <c r="E83" s="238" t="str">
        <f>IFERROR(VLOOKUP($A83,'SCH E'!$C$15:$G$58,5,FALSE),"")</f>
        <v/>
      </c>
      <c r="F83" s="223"/>
    </row>
    <row r="84" spans="1:6" x14ac:dyDescent="0.25">
      <c r="A84" s="255" t="s">
        <v>407</v>
      </c>
      <c r="B84" s="256" t="s">
        <v>262</v>
      </c>
      <c r="C84" s="256" t="s">
        <v>29</v>
      </c>
      <c r="D84" s="223" t="str">
        <f>IFERROR(VLOOKUP($A84,'SCH E'!$C$15:$E$58,3,FALSE),"")</f>
        <v/>
      </c>
      <c r="E84" s="238" t="str">
        <f>IFERROR(VLOOKUP($A84,'SCH E'!$C$15:$G$58,5,FALSE),"")</f>
        <v/>
      </c>
      <c r="F84" s="223"/>
    </row>
    <row r="85" spans="1:6" x14ac:dyDescent="0.25">
      <c r="A85" s="257" t="s">
        <v>408</v>
      </c>
      <c r="B85" s="258" t="s">
        <v>263</v>
      </c>
      <c r="C85" s="258" t="s">
        <v>29</v>
      </c>
      <c r="D85" s="223" t="str">
        <f>IFERROR(VLOOKUP($A85,'SCH E'!$C$15:$E$58,3,FALSE),"")</f>
        <v/>
      </c>
      <c r="E85" s="238" t="str">
        <f>IFERROR(VLOOKUP($A85,'SCH E'!$C$15:$G$58,5,FALSE),"")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E'!$C$15:$E$58,3,FALSE),"")</f>
        <v/>
      </c>
      <c r="E86" s="238" t="str">
        <f>IFERROR(VLOOKUP($A86,'SCH E'!$C$15:$G$58,5,FALSE),"")</f>
        <v/>
      </c>
      <c r="F86" s="223"/>
    </row>
    <row r="87" spans="1:6" x14ac:dyDescent="0.25">
      <c r="A87" s="257" t="s">
        <v>410</v>
      </c>
      <c r="B87" s="258" t="s">
        <v>265</v>
      </c>
      <c r="C87" s="258" t="s">
        <v>29</v>
      </c>
      <c r="D87" s="223" t="str">
        <f>IFERROR(VLOOKUP($A87,'SCH E'!$C$15:$E$58,3,FALSE),"")</f>
        <v/>
      </c>
      <c r="E87" s="238" t="str">
        <f>IFERROR(VLOOKUP($A87,'SCH E'!$C$15:$G$58,5,FALSE),"")</f>
        <v/>
      </c>
      <c r="F87" s="223"/>
    </row>
    <row r="88" spans="1:6" x14ac:dyDescent="0.25">
      <c r="A88" s="255" t="s">
        <v>411</v>
      </c>
      <c r="B88" s="256" t="s">
        <v>261</v>
      </c>
      <c r="C88" s="256" t="s">
        <v>227</v>
      </c>
      <c r="D88" s="223" t="str">
        <f>IFERROR(VLOOKUP($A88,'SCH E'!$C$15:$E$58,3,FALSE),"")</f>
        <v/>
      </c>
      <c r="E88" s="238" t="str">
        <f>IFERROR(VLOOKUP($A88,'SCH E'!$C$15:$G$58,5,FALSE),"")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E'!$C$15:$E$58,3,FALSE),"")</f>
        <v/>
      </c>
      <c r="E89" s="238" t="str">
        <f>IFERROR(VLOOKUP($A89,'SCH E'!$C$15:$G$58,5,FALSE),"")</f>
        <v/>
      </c>
      <c r="F89" s="26" t="e">
        <f t="shared" si="7"/>
        <v>#VALUE!</v>
      </c>
    </row>
    <row r="90" spans="1:6" x14ac:dyDescent="0.25">
      <c r="A90" s="255" t="s">
        <v>413</v>
      </c>
      <c r="B90" s="256" t="s">
        <v>263</v>
      </c>
      <c r="C90" s="256" t="s">
        <v>227</v>
      </c>
      <c r="D90" s="223" t="str">
        <f>IFERROR(VLOOKUP($A90,'SCH E'!$C$15:$E$58,3,FALSE),"")</f>
        <v/>
      </c>
      <c r="E90" s="238" t="str">
        <f>IFERROR(VLOOKUP($A90,'SCH E'!$C$15:$G$58,5,FALSE),"")</f>
        <v/>
      </c>
      <c r="F90" s="26" t="e">
        <f t="shared" si="7"/>
        <v>#VALUE!</v>
      </c>
    </row>
    <row r="91" spans="1:6" x14ac:dyDescent="0.25">
      <c r="A91" s="257" t="s">
        <v>414</v>
      </c>
      <c r="B91" s="258" t="s">
        <v>264</v>
      </c>
      <c r="C91" s="258" t="s">
        <v>227</v>
      </c>
      <c r="D91" s="223" t="str">
        <f>IFERROR(VLOOKUP($A91,'SCH E'!$C$15:$E$58,3,FALSE),"")</f>
        <v/>
      </c>
      <c r="E91" s="238" t="str">
        <f>IFERROR(VLOOKUP($A91,'SCH E'!$C$15:$G$58,5,FALSE),"")</f>
        <v/>
      </c>
      <c r="F91" s="26" t="e">
        <f t="shared" si="7"/>
        <v>#VALUE!</v>
      </c>
    </row>
    <row r="92" spans="1:6" x14ac:dyDescent="0.25">
      <c r="A92" s="255" t="s">
        <v>415</v>
      </c>
      <c r="B92" s="256" t="s">
        <v>265</v>
      </c>
      <c r="C92" s="256" t="s">
        <v>227</v>
      </c>
      <c r="D92" s="223" t="str">
        <f>IFERROR(VLOOKUP($A92,'SCH E'!$C$15:$E$58,3,FALSE),"")</f>
        <v/>
      </c>
      <c r="E92" s="238" t="str">
        <f>IFERROR(VLOOKUP($A92,'SCH E'!$C$15:$G$58,5,FALSE),"")</f>
        <v/>
      </c>
      <c r="F92" s="26" t="e">
        <f t="shared" si="7"/>
        <v>#VALUE!</v>
      </c>
    </row>
    <row r="93" spans="1:6" x14ac:dyDescent="0.25">
      <c r="A93" s="266" t="s">
        <v>435</v>
      </c>
      <c r="B93" s="267" t="s">
        <v>261</v>
      </c>
      <c r="C93" s="267" t="s">
        <v>197</v>
      </c>
      <c r="D93" s="223" t="str">
        <f>IFERROR(VLOOKUP($A93,'SCH E'!$C$15:$E$58,3,FALSE),"")</f>
        <v/>
      </c>
      <c r="E93" s="238" t="str">
        <f>IFERROR(VLOOKUP($A93,'SCH E'!$C$15:$G$58,5,FALSE),"")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E'!$C$15:$E$58,3,FALSE),"")</f>
        <v/>
      </c>
      <c r="E94" s="238" t="str">
        <f>IFERROR(VLOOKUP($A94,'SCH E'!$C$15:$G$58,5,FALSE),"")</f>
        <v/>
      </c>
      <c r="F94" s="26" t="e">
        <f t="shared" si="8"/>
        <v>#VALUE!</v>
      </c>
    </row>
    <row r="95" spans="1:6" x14ac:dyDescent="0.25">
      <c r="A95" s="266" t="s">
        <v>437</v>
      </c>
      <c r="B95" s="267" t="s">
        <v>263</v>
      </c>
      <c r="C95" s="267" t="s">
        <v>197</v>
      </c>
      <c r="D95" s="223" t="str">
        <f>IFERROR(VLOOKUP($A95,'SCH E'!$C$15:$E$58,3,FALSE),"")</f>
        <v/>
      </c>
      <c r="E95" s="238" t="str">
        <f>IFERROR(VLOOKUP($A95,'SCH E'!$C$15:$G$58,5,FALSE),"")</f>
        <v/>
      </c>
      <c r="F95" s="26" t="e">
        <f t="shared" si="8"/>
        <v>#VALUE!</v>
      </c>
    </row>
    <row r="96" spans="1:6" x14ac:dyDescent="0.25">
      <c r="A96" s="268" t="s">
        <v>438</v>
      </c>
      <c r="B96" s="269" t="s">
        <v>264</v>
      </c>
      <c r="C96" s="269" t="s">
        <v>197</v>
      </c>
      <c r="D96" s="223" t="str">
        <f>IFERROR(VLOOKUP($A96,'SCH E'!$C$15:$E$58,3,FALSE),"")</f>
        <v/>
      </c>
      <c r="E96" s="238" t="str">
        <f>IFERROR(VLOOKUP($A96,'SCH E'!$C$15:$G$58,5,FALSE),"")</f>
        <v/>
      </c>
      <c r="F96" s="26" t="e">
        <f t="shared" si="8"/>
        <v>#VALUE!</v>
      </c>
    </row>
    <row r="97" spans="1:6" x14ac:dyDescent="0.25">
      <c r="A97" s="266" t="s">
        <v>439</v>
      </c>
      <c r="B97" s="267" t="s">
        <v>265</v>
      </c>
      <c r="C97" s="267" t="s">
        <v>197</v>
      </c>
      <c r="D97" s="223" t="str">
        <f>IFERROR(VLOOKUP($A97,'SCH E'!$C$15:$E$58,3,FALSE),"")</f>
        <v/>
      </c>
      <c r="E97" s="238" t="str">
        <f>IFERROR(VLOOKUP($A97,'SCH E'!$C$15:$G$58,5,FALSE),"")</f>
        <v/>
      </c>
      <c r="F97" s="26" t="e">
        <f t="shared" si="8"/>
        <v>#VALUE!</v>
      </c>
    </row>
    <row r="98" spans="1:6" x14ac:dyDescent="0.25">
      <c r="A98" s="268" t="s">
        <v>440</v>
      </c>
      <c r="B98" s="269" t="s">
        <v>261</v>
      </c>
      <c r="C98" s="269" t="s">
        <v>29</v>
      </c>
      <c r="D98" s="223" t="str">
        <f>IFERROR(VLOOKUP($A98,'SCH E'!$C$15:$E$58,3,FALSE),"")</f>
        <v/>
      </c>
      <c r="E98" s="238" t="str">
        <f>IFERROR(VLOOKUP($A98,'SCH E'!$C$15:$G$58,5,FALSE),"")</f>
        <v/>
      </c>
      <c r="F98" s="223"/>
    </row>
    <row r="99" spans="1:6" x14ac:dyDescent="0.25">
      <c r="A99" s="266" t="s">
        <v>441</v>
      </c>
      <c r="B99" s="267" t="s">
        <v>262</v>
      </c>
      <c r="C99" s="267" t="s">
        <v>29</v>
      </c>
      <c r="D99" s="223" t="str">
        <f>IFERROR(VLOOKUP($A99,'SCH E'!$C$15:$E$58,3,FALSE),"")</f>
        <v/>
      </c>
      <c r="E99" s="238" t="str">
        <f>IFERROR(VLOOKUP($A99,'SCH E'!$C$15:$G$58,5,FALSE),"")</f>
        <v/>
      </c>
      <c r="F99" s="223"/>
    </row>
    <row r="100" spans="1:6" x14ac:dyDescent="0.25">
      <c r="A100" s="268" t="s">
        <v>442</v>
      </c>
      <c r="B100" s="269" t="s">
        <v>263</v>
      </c>
      <c r="C100" s="269" t="s">
        <v>29</v>
      </c>
      <c r="D100" s="223" t="str">
        <f>IFERROR(VLOOKUP($A100,'SCH E'!$C$15:$E$58,3,FALSE),"")</f>
        <v/>
      </c>
      <c r="E100" s="238" t="str">
        <f>IFERROR(VLOOKUP($A100,'SCH E'!$C$15:$G$58,5,FALSE),"")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E'!$C$15:$E$58,3,FALSE),"")</f>
        <v/>
      </c>
      <c r="E101" s="238" t="str">
        <f>IFERROR(VLOOKUP($A101,'SCH E'!$C$15:$G$58,5,FALSE),"")</f>
        <v/>
      </c>
      <c r="F101" s="223"/>
    </row>
    <row r="102" spans="1:6" x14ac:dyDescent="0.25">
      <c r="A102" s="268" t="s">
        <v>444</v>
      </c>
      <c r="B102" s="269" t="s">
        <v>265</v>
      </c>
      <c r="C102" s="269" t="s">
        <v>29</v>
      </c>
      <c r="D102" s="223" t="str">
        <f>IFERROR(VLOOKUP($A102,'SCH E'!$C$15:$E$58,3,FALSE),"")</f>
        <v/>
      </c>
      <c r="E102" s="238" t="str">
        <f>IFERROR(VLOOKUP($A102,'SCH E'!$C$15:$G$58,5,FALSE),"")</f>
        <v/>
      </c>
      <c r="F102" s="223"/>
    </row>
    <row r="103" spans="1:6" x14ac:dyDescent="0.25">
      <c r="A103" s="266" t="s">
        <v>445</v>
      </c>
      <c r="B103" s="267" t="s">
        <v>261</v>
      </c>
      <c r="C103" s="267" t="s">
        <v>227</v>
      </c>
      <c r="D103" s="223" t="str">
        <f>IFERROR(VLOOKUP($A103,'SCH E'!$C$15:$E$58,3,FALSE),"")</f>
        <v/>
      </c>
      <c r="E103" s="238" t="str">
        <f>IFERROR(VLOOKUP($A103,'SCH E'!$C$15:$G$58,5,FALSE),"")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E'!$C$15:$E$58,3,FALSE),"")</f>
        <v/>
      </c>
      <c r="E104" s="238" t="str">
        <f>IFERROR(VLOOKUP($A104,'SCH E'!$C$15:$G$58,5,FALSE),"")</f>
        <v/>
      </c>
      <c r="F104" s="26" t="e">
        <f t="shared" si="9"/>
        <v>#VALUE!</v>
      </c>
    </row>
    <row r="105" spans="1:6" x14ac:dyDescent="0.25">
      <c r="A105" s="266" t="s">
        <v>447</v>
      </c>
      <c r="B105" s="267" t="s">
        <v>263</v>
      </c>
      <c r="C105" s="267" t="s">
        <v>227</v>
      </c>
      <c r="D105" s="223" t="str">
        <f>IFERROR(VLOOKUP($A105,'SCH E'!$C$15:$E$58,3,FALSE),"")</f>
        <v/>
      </c>
      <c r="E105" s="238" t="str">
        <f>IFERROR(VLOOKUP($A105,'SCH E'!$C$15:$G$58,5,FALSE),"")</f>
        <v/>
      </c>
      <c r="F105" s="26" t="e">
        <f t="shared" si="9"/>
        <v>#VALUE!</v>
      </c>
    </row>
    <row r="106" spans="1:6" x14ac:dyDescent="0.25">
      <c r="A106" s="268" t="s">
        <v>448</v>
      </c>
      <c r="B106" s="269" t="s">
        <v>264</v>
      </c>
      <c r="C106" s="269" t="s">
        <v>227</v>
      </c>
      <c r="D106" s="223" t="str">
        <f>IFERROR(VLOOKUP($A106,'SCH E'!$C$15:$E$58,3,FALSE),"")</f>
        <v/>
      </c>
      <c r="E106" s="238" t="str">
        <f>IFERROR(VLOOKUP($A106,'SCH E'!$C$15:$G$58,5,FALSE),"")</f>
        <v/>
      </c>
      <c r="F106" s="26" t="e">
        <f t="shared" si="9"/>
        <v>#VALUE!</v>
      </c>
    </row>
    <row r="107" spans="1:6" x14ac:dyDescent="0.25">
      <c r="A107" s="266" t="s">
        <v>449</v>
      </c>
      <c r="B107" s="267" t="s">
        <v>265</v>
      </c>
      <c r="C107" s="267" t="s">
        <v>227</v>
      </c>
      <c r="D107" s="223" t="str">
        <f>IFERROR(VLOOKUP($A107,'SCH E'!$C$15:$E$58,3,FALSE),"")</f>
        <v/>
      </c>
      <c r="E107" s="238" t="str">
        <f>IFERROR(VLOOKUP($A107,'SCH E'!$C$15:$G$58,5,FALSE),"")</f>
        <v/>
      </c>
      <c r="F107" s="26" t="e">
        <f t="shared" si="9"/>
        <v>#VALUE!</v>
      </c>
    </row>
    <row r="108" spans="1:6" x14ac:dyDescent="0.25">
      <c r="A108" s="204" t="s">
        <v>266</v>
      </c>
      <c r="B108" s="204" t="s">
        <v>416</v>
      </c>
      <c r="C108" s="204" t="s">
        <v>276</v>
      </c>
      <c r="D108" s="223" t="str">
        <f>IFERROR(VLOOKUP($A108,'SCH E'!$C$15:$E$58,3,FALSE),"")</f>
        <v/>
      </c>
      <c r="E108" s="238" t="str">
        <f>IFERROR(VLOOKUP($A108,'SCH E'!$C$15:$G$58,5,FALSE),"")</f>
        <v/>
      </c>
      <c r="F108" s="223"/>
    </row>
    <row r="109" spans="1:6" x14ac:dyDescent="0.25">
      <c r="A109" s="205" t="s">
        <v>267</v>
      </c>
      <c r="B109" s="205" t="s">
        <v>277</v>
      </c>
      <c r="C109" s="205" t="s">
        <v>276</v>
      </c>
      <c r="D109" s="223" t="str">
        <f>IFERROR(VLOOKUP($A109,'SCH E'!$C$15:$E$58,3,FALSE),"")</f>
        <v/>
      </c>
      <c r="E109" s="238" t="str">
        <f>IFERROR(VLOOKUP($A109,'SCH E'!$C$15:$G$58,5,FALSE),"")</f>
        <v/>
      </c>
      <c r="F109" s="223"/>
    </row>
    <row r="110" spans="1:6" x14ac:dyDescent="0.25">
      <c r="A110" s="204" t="s">
        <v>268</v>
      </c>
      <c r="B110" s="204" t="s">
        <v>417</v>
      </c>
      <c r="C110" s="204" t="s">
        <v>276</v>
      </c>
      <c r="D110" s="223" t="str">
        <f>IFERROR(VLOOKUP($A110,'SCH E'!$C$15:$E$58,3,FALSE),"")</f>
        <v/>
      </c>
      <c r="E110" s="238" t="str">
        <f>IFERROR(VLOOKUP($A110,'SCH E'!$C$15:$G$58,5,FALSE),"")</f>
        <v/>
      </c>
      <c r="F110" s="223"/>
    </row>
    <row r="111" spans="1:6" x14ac:dyDescent="0.25">
      <c r="A111" s="205" t="s">
        <v>269</v>
      </c>
      <c r="B111" s="205" t="s">
        <v>278</v>
      </c>
      <c r="C111" s="205" t="s">
        <v>276</v>
      </c>
      <c r="D111" s="223" t="str">
        <f>IFERROR(VLOOKUP($A111,'SCH E'!$C$15:$E$58,3,FALSE),"")</f>
        <v/>
      </c>
      <c r="E111" s="238" t="str">
        <f>IFERROR(VLOOKUP($A111,'SCH E'!$C$15:$G$58,5,FALSE),"")</f>
        <v/>
      </c>
      <c r="F111" s="223"/>
    </row>
    <row r="112" spans="1:6" x14ac:dyDescent="0.25">
      <c r="A112" s="204" t="s">
        <v>270</v>
      </c>
      <c r="B112" s="204" t="s">
        <v>416</v>
      </c>
      <c r="C112" s="204" t="s">
        <v>29</v>
      </c>
      <c r="D112" s="223" t="str">
        <f>IFERROR(VLOOKUP($A112,'SCH E'!$C$15:$E$58,3,FALSE),"")</f>
        <v/>
      </c>
      <c r="E112" s="238" t="str">
        <f>IFERROR(VLOOKUP($A112,'SCH E'!$C$15:$G$58,5,FALSE),"")</f>
        <v/>
      </c>
      <c r="F112" s="223"/>
    </row>
    <row r="113" spans="1:6" x14ac:dyDescent="0.25">
      <c r="A113" s="205" t="s">
        <v>271</v>
      </c>
      <c r="B113" s="212" t="s">
        <v>277</v>
      </c>
      <c r="C113" s="205" t="s">
        <v>29</v>
      </c>
      <c r="D113" s="223" t="str">
        <f>IFERROR(VLOOKUP($A113,'SCH E'!$C$15:$E$58,3,FALSE),"")</f>
        <v/>
      </c>
      <c r="E113" s="238" t="str">
        <f>IFERROR(VLOOKUP($A113,'SCH E'!$C$15:$G$58,5,FALSE),"")</f>
        <v/>
      </c>
      <c r="F113" s="223"/>
    </row>
    <row r="114" spans="1:6" x14ac:dyDescent="0.25">
      <c r="A114" s="204" t="s">
        <v>272</v>
      </c>
      <c r="B114" s="213" t="s">
        <v>417</v>
      </c>
      <c r="C114" s="204" t="s">
        <v>29</v>
      </c>
      <c r="D114" s="223" t="str">
        <f>IFERROR(VLOOKUP($A114,'SCH E'!$C$15:$E$58,3,FALSE),"")</f>
        <v/>
      </c>
      <c r="E114" s="238" t="str">
        <f>IFERROR(VLOOKUP($A114,'SCH E'!$C$15:$G$58,5,FALSE),"")</f>
        <v/>
      </c>
      <c r="F114" s="223"/>
    </row>
    <row r="115" spans="1:6" ht="26.25" x14ac:dyDescent="0.25">
      <c r="A115" s="205" t="s">
        <v>273</v>
      </c>
      <c r="B115" s="212" t="s">
        <v>278</v>
      </c>
      <c r="C115" s="205" t="s">
        <v>29</v>
      </c>
      <c r="D115" s="223" t="str">
        <f>IFERROR(VLOOKUP($A115,'SCH E'!$C$15:$E$58,3,FALSE),"")</f>
        <v/>
      </c>
      <c r="E115" s="238" t="str">
        <f>IFERROR(VLOOKUP($A115,'SCH E'!$C$15:$G$58,5,FALSE),"")</f>
        <v/>
      </c>
      <c r="F115" s="223"/>
    </row>
    <row r="116" spans="1:6" x14ac:dyDescent="0.25">
      <c r="A116" s="204" t="s">
        <v>274</v>
      </c>
      <c r="B116" s="204" t="s">
        <v>416</v>
      </c>
      <c r="C116" s="204" t="s">
        <v>197</v>
      </c>
      <c r="D116" s="223" t="str">
        <f>IFERROR(VLOOKUP($A116,'SCH E'!$C$15:$E$58,3,FALSE),"")</f>
        <v/>
      </c>
      <c r="E116" s="238" t="str">
        <f>IFERROR(VLOOKUP($A116,'SCH E'!$C$15:$G$58,5,FALSE),"")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E'!$C$15:$E$58,3,FALSE),"")</f>
        <v/>
      </c>
      <c r="E117" s="238" t="str">
        <f>IFERROR(VLOOKUP($A117,'SCH E'!$C$15:$G$58,5,FALSE),"")</f>
        <v/>
      </c>
      <c r="F117" s="26" t="e">
        <f t="shared" si="10"/>
        <v>#VALUE!</v>
      </c>
    </row>
    <row r="118" spans="1:6" x14ac:dyDescent="0.25">
      <c r="A118" s="204" t="s">
        <v>279</v>
      </c>
      <c r="B118" s="204" t="s">
        <v>280</v>
      </c>
      <c r="C118" s="206" t="s">
        <v>197</v>
      </c>
      <c r="D118" s="223" t="str">
        <f>IFERROR(VLOOKUP($A118,'SCH E'!$C$15:$E$58,3,FALSE),"")</f>
        <v/>
      </c>
      <c r="E118" s="238" t="str">
        <f>IFERROR(VLOOKUP($A118,'SCH E'!$C$15:$G$58,5,FALSE),"")</f>
        <v/>
      </c>
      <c r="F118" s="223"/>
    </row>
    <row r="119" spans="1:6" x14ac:dyDescent="0.25">
      <c r="A119" s="205" t="s">
        <v>281</v>
      </c>
      <c r="B119" s="205" t="s">
        <v>249</v>
      </c>
      <c r="C119" s="205" t="s">
        <v>197</v>
      </c>
      <c r="D119" s="223" t="str">
        <f>IFERROR(VLOOKUP($A119,'SCH E'!$C$15:$E$58,3,FALSE),"")</f>
        <v/>
      </c>
      <c r="E119" s="238" t="str">
        <f>IFERROR(VLOOKUP($A119,'SCH E'!$C$15:$G$58,5,FALSE),"")</f>
        <v/>
      </c>
      <c r="F119" s="26" t="e">
        <f>IF((D119&gt;=1575),ROUND(E119*0.01,2),"-")</f>
        <v>#VALUE!</v>
      </c>
    </row>
    <row r="120" spans="1:6" x14ac:dyDescent="0.25">
      <c r="A120" s="204" t="s">
        <v>282</v>
      </c>
      <c r="B120" s="204" t="s">
        <v>250</v>
      </c>
      <c r="C120" s="204" t="s">
        <v>197</v>
      </c>
      <c r="D120" s="223" t="str">
        <f>IFERROR(VLOOKUP($A120,'SCH E'!$C$15:$E$58,3,FALSE),"")</f>
        <v/>
      </c>
      <c r="E120" s="238" t="str">
        <f>IFERROR(VLOOKUP($A120,'SCH E'!$C$15:$G$58,5,FALSE),"")</f>
        <v/>
      </c>
      <c r="F120" s="26" t="e">
        <f>IF((D120&gt;=1050),ROUND(E120*0.01,2),"-")</f>
        <v>#VALUE!</v>
      </c>
    </row>
    <row r="121" spans="1:6" x14ac:dyDescent="0.25">
      <c r="A121" s="205" t="s">
        <v>283</v>
      </c>
      <c r="B121" s="205" t="s">
        <v>251</v>
      </c>
      <c r="C121" s="205" t="s">
        <v>197</v>
      </c>
      <c r="D121" s="223" t="str">
        <f>IFERROR(VLOOKUP($A121,'SCH E'!$C$15:$E$58,3,FALSE),"")</f>
        <v/>
      </c>
      <c r="E121" s="238" t="str">
        <f>IFERROR(VLOOKUP($A121,'SCH E'!$C$15:$G$58,5,FALSE),"")</f>
        <v/>
      </c>
      <c r="F121" s="26" t="e">
        <f>IF((D121&gt;=787.5),ROUND(E121*0.01,2),"-")</f>
        <v>#VALUE!</v>
      </c>
    </row>
    <row r="122" spans="1:6" x14ac:dyDescent="0.25">
      <c r="A122" s="204" t="s">
        <v>284</v>
      </c>
      <c r="B122" s="204" t="s">
        <v>252</v>
      </c>
      <c r="C122" s="204" t="s">
        <v>197</v>
      </c>
      <c r="D122" s="223" t="str">
        <f>IFERROR(VLOOKUP($A122,'SCH E'!$C$15:$E$58,3,FALSE),"")</f>
        <v/>
      </c>
      <c r="E122" s="238" t="str">
        <f>IFERROR(VLOOKUP($A122,'SCH E'!$C$15:$G$58,5,FALSE),"")</f>
        <v/>
      </c>
      <c r="F122" s="26" t="e">
        <f>IF((D122&gt;=393.75),ROUND(E122*0.01,2),"-")</f>
        <v>#VALUE!</v>
      </c>
    </row>
    <row r="123" spans="1:6" x14ac:dyDescent="0.25">
      <c r="A123" s="205" t="s">
        <v>285</v>
      </c>
      <c r="B123" s="205" t="s">
        <v>291</v>
      </c>
      <c r="C123" s="205" t="s">
        <v>197</v>
      </c>
      <c r="D123" s="223" t="str">
        <f>IFERROR(VLOOKUP($A123,'SCH E'!$C$15:$E$58,3,FALSE),"")</f>
        <v/>
      </c>
      <c r="E123" s="238" t="str">
        <f>IFERROR(VLOOKUP($A123,'SCH E'!$C$15:$G$58,5,FALSE),"")</f>
        <v/>
      </c>
      <c r="F123" s="26" t="e">
        <f>IF((D123&gt;=(1575*2)),ROUND(E123*0.01,2),"-")</f>
        <v>#VALUE!</v>
      </c>
    </row>
    <row r="124" spans="1:6" x14ac:dyDescent="0.25">
      <c r="A124" s="204" t="s">
        <v>286</v>
      </c>
      <c r="B124" s="204" t="s">
        <v>292</v>
      </c>
      <c r="C124" s="204" t="s">
        <v>197</v>
      </c>
      <c r="D124" s="223" t="str">
        <f>IFERROR(VLOOKUP($A124,'SCH E'!$C$15:$E$58,3,FALSE),"")</f>
        <v/>
      </c>
      <c r="E124" s="238" t="str">
        <f>IFERROR(VLOOKUP($A124,'SCH E'!$C$15:$G$58,5,FALSE),"")</f>
        <v/>
      </c>
      <c r="F124" s="26" t="e">
        <f>IF((D124&gt;=(787.5*2)),ROUND(E124*0.01,2),"-")</f>
        <v>#VALUE!</v>
      </c>
    </row>
    <row r="125" spans="1:6" x14ac:dyDescent="0.25">
      <c r="A125" s="205" t="s">
        <v>287</v>
      </c>
      <c r="B125" s="205" t="s">
        <v>293</v>
      </c>
      <c r="C125" s="205" t="s">
        <v>197</v>
      </c>
      <c r="D125" s="223" t="str">
        <f>IFERROR(VLOOKUP($A125,'SCH E'!$C$15:$E$58,3,FALSE),"")</f>
        <v/>
      </c>
      <c r="E125" s="238" t="str">
        <f>IFERROR(VLOOKUP($A125,'SCH E'!$C$15:$G$58,5,FALSE),"")</f>
        <v/>
      </c>
      <c r="F125" s="26" t="e">
        <f>IF((D125&gt;=(1050*2)),ROUND(E125*0.01,2),"-")</f>
        <v>#VALUE!</v>
      </c>
    </row>
    <row r="126" spans="1:6" x14ac:dyDescent="0.25">
      <c r="A126" s="204" t="s">
        <v>288</v>
      </c>
      <c r="B126" s="204" t="s">
        <v>294</v>
      </c>
      <c r="C126" s="204" t="s">
        <v>197</v>
      </c>
      <c r="D126" s="223" t="str">
        <f>IFERROR(VLOOKUP($A126,'SCH E'!$C$15:$E$58,3,FALSE),"")</f>
        <v/>
      </c>
      <c r="E126" s="238" t="str">
        <f>IFERROR(VLOOKUP($A126,'SCH E'!$C$15:$G$58,5,FALSE),"")</f>
        <v/>
      </c>
      <c r="F126" s="26" t="e">
        <f>IF((D126&gt;=(787.5*2)),ROUND(E126*0.01,2),"-")</f>
        <v>#VALUE!</v>
      </c>
    </row>
    <row r="127" spans="1:6" x14ac:dyDescent="0.25">
      <c r="A127" s="205" t="s">
        <v>289</v>
      </c>
      <c r="B127" s="205" t="s">
        <v>295</v>
      </c>
      <c r="C127" s="205" t="s">
        <v>197</v>
      </c>
      <c r="D127" s="223" t="str">
        <f>IFERROR(VLOOKUP($A127,'SCH E'!$C$15:$E$58,3,FALSE),"")</f>
        <v/>
      </c>
      <c r="E127" s="238" t="str">
        <f>IFERROR(VLOOKUP($A127,'SCH E'!$C$15:$G$58,5,FALSE),"")</f>
        <v/>
      </c>
      <c r="F127" s="26" t="e">
        <f>IF((D127&gt;=(787.5*2)),ROUND(E127*0.01,2),"-")</f>
        <v>#VALUE!</v>
      </c>
    </row>
    <row r="128" spans="1:6" x14ac:dyDescent="0.25">
      <c r="A128" s="204" t="s">
        <v>290</v>
      </c>
      <c r="B128" s="204" t="s">
        <v>296</v>
      </c>
      <c r="C128" s="204" t="s">
        <v>197</v>
      </c>
      <c r="D128" s="223" t="str">
        <f>IFERROR(VLOOKUP($A128,'SCH E'!$C$15:$E$58,3,FALSE),"")</f>
        <v/>
      </c>
      <c r="E128" s="238" t="str">
        <f>IFERROR(VLOOKUP($A128,'SCH E'!$C$15:$G$58,5,FALSE),"")</f>
        <v/>
      </c>
      <c r="F128" s="26" t="e">
        <f>IF((D128&gt;=(393.75*2)),ROUND(E128*0.01,2),"-")</f>
        <v>#VALUE!</v>
      </c>
    </row>
    <row r="129" spans="1:16" x14ac:dyDescent="0.25">
      <c r="A129" s="205" t="s">
        <v>242</v>
      </c>
      <c r="B129" s="205" t="s">
        <v>249</v>
      </c>
      <c r="C129" s="205" t="s">
        <v>29</v>
      </c>
      <c r="D129" s="223" t="str">
        <f>IFERROR(VLOOKUP($A129,'SCH E'!$C$15:$E$58,3,FALSE),"")</f>
        <v/>
      </c>
      <c r="E129" s="238" t="str">
        <f>IFERROR(VLOOKUP($A129,'SCH E'!$C$15:$G$58,5,FALSE),"")</f>
        <v/>
      </c>
      <c r="F129" s="26" t="e">
        <f>IF((D129&gt;=40000),ROUND(E129*0.05,2),"-")</f>
        <v>#VALUE!</v>
      </c>
    </row>
    <row r="130" spans="1:16" x14ac:dyDescent="0.25">
      <c r="A130" s="204" t="s">
        <v>243</v>
      </c>
      <c r="B130" s="204" t="s">
        <v>250</v>
      </c>
      <c r="C130" s="204" t="s">
        <v>29</v>
      </c>
      <c r="D130" s="223" t="str">
        <f>IFERROR(VLOOKUP($A130,'SCH E'!$C$15:$E$58,3,FALSE),"")</f>
        <v/>
      </c>
      <c r="E130" s="238" t="str">
        <f>IFERROR(VLOOKUP($A130,'SCH E'!$C$15:$G$58,5,FALSE),"")</f>
        <v/>
      </c>
      <c r="F130" s="26" t="e">
        <f t="shared" ref="F130:F135" si="11">IF((D130&gt;=40000),ROUND(E130*0.05,2),"-")</f>
        <v>#VALUE!</v>
      </c>
    </row>
    <row r="131" spans="1:16" x14ac:dyDescent="0.25">
      <c r="A131" s="205" t="s">
        <v>244</v>
      </c>
      <c r="B131" s="205" t="s">
        <v>251</v>
      </c>
      <c r="C131" s="205" t="s">
        <v>29</v>
      </c>
      <c r="D131" s="223" t="str">
        <f>IFERROR(VLOOKUP($A131,'SCH E'!$C$15:$E$58,3,FALSE),"")</f>
        <v/>
      </c>
      <c r="E131" s="238" t="str">
        <f>IFERROR(VLOOKUP($A131,'SCH E'!$C$15:$G$58,5,FALSE),"")</f>
        <v/>
      </c>
      <c r="F131" s="26" t="e">
        <f t="shared" si="11"/>
        <v>#VALUE!</v>
      </c>
    </row>
    <row r="132" spans="1:16" x14ac:dyDescent="0.25">
      <c r="A132" s="204" t="s">
        <v>245</v>
      </c>
      <c r="B132" s="204" t="s">
        <v>252</v>
      </c>
      <c r="C132" s="204" t="s">
        <v>29</v>
      </c>
      <c r="D132" s="223" t="str">
        <f>IFERROR(VLOOKUP($A132,'SCH E'!$C$15:$E$58,3,FALSE),"")</f>
        <v/>
      </c>
      <c r="E132" s="238" t="str">
        <f>IFERROR(VLOOKUP($A132,'SCH E'!$C$15:$G$58,5,FALSE),"")</f>
        <v/>
      </c>
      <c r="F132" s="26" t="e">
        <f t="shared" si="11"/>
        <v>#VALUE!</v>
      </c>
    </row>
    <row r="133" spans="1:16" x14ac:dyDescent="0.25">
      <c r="A133" s="205" t="s">
        <v>246</v>
      </c>
      <c r="B133" s="205" t="s">
        <v>253</v>
      </c>
      <c r="C133" s="205" t="s">
        <v>29</v>
      </c>
      <c r="D133" s="223" t="str">
        <f>IFERROR(VLOOKUP($A133,'SCH E'!$C$15:$E$58,3,FALSE),"")</f>
        <v/>
      </c>
      <c r="E133" s="238" t="str">
        <f>IFERROR(VLOOKUP($A133,'SCH E'!$C$15:$G$58,5,FALSE),"")</f>
        <v/>
      </c>
      <c r="F133" s="26" t="e">
        <f t="shared" si="11"/>
        <v>#VALUE!</v>
      </c>
    </row>
    <row r="134" spans="1:16" x14ac:dyDescent="0.25">
      <c r="A134" s="204" t="s">
        <v>247</v>
      </c>
      <c r="B134" s="204" t="s">
        <v>254</v>
      </c>
      <c r="C134" s="204" t="s">
        <v>29</v>
      </c>
      <c r="D134" s="223" t="str">
        <f>IFERROR(VLOOKUP($A134,'SCH E'!$C$15:$E$58,3,FALSE),"")</f>
        <v/>
      </c>
      <c r="E134" s="238" t="str">
        <f>IFERROR(VLOOKUP($A134,'SCH E'!$C$15:$G$58,5,FALSE),"")</f>
        <v/>
      </c>
      <c r="F134" s="26" t="e">
        <f t="shared" si="11"/>
        <v>#VALUE!</v>
      </c>
    </row>
    <row r="135" spans="1:16" x14ac:dyDescent="0.25">
      <c r="A135" s="205" t="s">
        <v>248</v>
      </c>
      <c r="B135" s="205" t="s">
        <v>255</v>
      </c>
      <c r="C135" s="205" t="s">
        <v>29</v>
      </c>
      <c r="D135" s="223" t="str">
        <f>IFERROR(VLOOKUP($A135,'SCH E'!$C$15:$E$58,3,FALSE),"")</f>
        <v/>
      </c>
      <c r="E135" s="238" t="str">
        <f>IFERROR(VLOOKUP($A135,'SCH E'!$C$15:$G$58,5,FALSE),"")</f>
        <v/>
      </c>
      <c r="F135" s="26" t="e">
        <f t="shared" si="11"/>
        <v>#VALUE!</v>
      </c>
    </row>
    <row r="136" spans="1:16" x14ac:dyDescent="0.25">
      <c r="A136" s="251" t="s">
        <v>418</v>
      </c>
      <c r="B136" s="252" t="s">
        <v>424</v>
      </c>
      <c r="C136" s="252" t="s">
        <v>197</v>
      </c>
      <c r="D136" s="223" t="str">
        <f>IFERROR(VLOOKUP($A136,'SCH E'!$C$15:$E$58,3,FALSE),"")</f>
        <v/>
      </c>
      <c r="E136" s="238" t="str">
        <f>IFERROR(VLOOKUP($A136,'SCH E'!$C$15:$G$58,5,FALSE),"")</f>
        <v/>
      </c>
      <c r="F136" s="26" t="str">
        <f>IF(ISNUMBER(D136),ROUND(E136*0.01,2),"-")</f>
        <v>-</v>
      </c>
    </row>
    <row r="137" spans="1:16" x14ac:dyDescent="0.25">
      <c r="A137" s="253" t="s">
        <v>419</v>
      </c>
      <c r="B137" s="254" t="s">
        <v>425</v>
      </c>
      <c r="C137" s="254" t="s">
        <v>197</v>
      </c>
      <c r="D137" s="223" t="str">
        <f>IFERROR(VLOOKUP($A137,'SCH E'!$C$15:$E$58,3,FALSE),"")</f>
        <v/>
      </c>
      <c r="E137" s="238" t="str">
        <f>IFERROR(VLOOKUP($A137,'SCH E'!$C$15:$G$58,5,FALSE),"")</f>
        <v/>
      </c>
      <c r="F137" s="26" t="str">
        <f t="shared" ref="F137:F138" si="12">IF(ISNUMBER(D137),ROUND(E137*0.01,2),"-")</f>
        <v>-</v>
      </c>
    </row>
    <row r="138" spans="1:16" x14ac:dyDescent="0.25">
      <c r="A138" s="251" t="s">
        <v>420</v>
      </c>
      <c r="B138" s="252" t="s">
        <v>426</v>
      </c>
      <c r="C138" s="252" t="s">
        <v>197</v>
      </c>
      <c r="D138" s="223" t="str">
        <f>IFERROR(VLOOKUP($A138,'SCH E'!$C$15:$E$58,3,FALSE),"")</f>
        <v/>
      </c>
      <c r="E138" s="238" t="str">
        <f>IFERROR(VLOOKUP($A138,'SCH E'!$C$15:$G$58,5,FALSE),"")</f>
        <v/>
      </c>
      <c r="F138" s="26" t="str">
        <f t="shared" si="12"/>
        <v>-</v>
      </c>
    </row>
    <row r="139" spans="1:16" x14ac:dyDescent="0.25">
      <c r="A139" s="253" t="s">
        <v>421</v>
      </c>
      <c r="B139" s="254" t="s">
        <v>424</v>
      </c>
      <c r="C139" s="254" t="s">
        <v>29</v>
      </c>
      <c r="D139" s="223" t="str">
        <f>IFERROR(VLOOKUP($A139,'SCH E'!$C$15:$E$58,3,FALSE),"")</f>
        <v/>
      </c>
      <c r="E139" s="238" t="str">
        <f>IFERROR(VLOOKUP($A139,'SCH E'!$C$15:$G$58,5,FALSE),"")</f>
        <v/>
      </c>
      <c r="F139" s="284">
        <v>0.08</v>
      </c>
    </row>
    <row r="140" spans="1:16" x14ac:dyDescent="0.25">
      <c r="A140" s="251" t="s">
        <v>422</v>
      </c>
      <c r="B140" s="252" t="s">
        <v>425</v>
      </c>
      <c r="C140" s="252" t="s">
        <v>29</v>
      </c>
      <c r="D140" s="223" t="str">
        <f>IFERROR(VLOOKUP($A140,'SCH E'!$C$15:$E$58,3,FALSE),"")</f>
        <v/>
      </c>
      <c r="E140" s="238" t="str">
        <f>IFERROR(VLOOKUP($A140,'SCH E'!$C$15:$G$58,5,FALSE),"")</f>
        <v/>
      </c>
      <c r="F140" s="284">
        <v>0.05</v>
      </c>
    </row>
    <row r="141" spans="1:16" x14ac:dyDescent="0.25">
      <c r="A141" s="253" t="s">
        <v>423</v>
      </c>
      <c r="B141" s="254" t="s">
        <v>426</v>
      </c>
      <c r="C141" s="254" t="s">
        <v>29</v>
      </c>
      <c r="D141" s="223" t="str">
        <f>IFERROR(VLOOKUP($A141,'SCH E'!$C$15:$E$58,3,FALSE),"")</f>
        <v/>
      </c>
      <c r="E141" s="238" t="str">
        <f>IFERROR(VLOOKUP($A141,'SCH E'!$C$15:$G$58,5,FALSE),"")</f>
        <v/>
      </c>
      <c r="F141" s="284">
        <v>0.05</v>
      </c>
    </row>
    <row r="142" spans="1:16" x14ac:dyDescent="0.25">
      <c r="A142" s="251" t="s">
        <v>450</v>
      </c>
      <c r="B142" s="252" t="s">
        <v>424</v>
      </c>
      <c r="C142" s="252" t="s">
        <v>197</v>
      </c>
      <c r="D142" s="223" t="str">
        <f>IFERROR(VLOOKUP($A142,'SCH E'!$C$15:$E$58,3,FALSE),"")</f>
        <v/>
      </c>
      <c r="E142" s="238" t="str">
        <f>IFERROR(VLOOKUP($A142,'SCH E'!$C$15:$G$58,5,FALSE),"")</f>
        <v/>
      </c>
      <c r="F142" s="26" t="s">
        <v>459</v>
      </c>
      <c r="P142" t="s">
        <v>454</v>
      </c>
    </row>
    <row r="143" spans="1:16" x14ac:dyDescent="0.25">
      <c r="A143" s="253" t="s">
        <v>451</v>
      </c>
      <c r="B143" s="254" t="s">
        <v>424</v>
      </c>
      <c r="C143" s="254" t="s">
        <v>29</v>
      </c>
      <c r="D143" s="223" t="str">
        <f>IFERROR(VLOOKUP($A143,'SCH E'!$C$15:$E$58,3,FALSE),"")</f>
        <v/>
      </c>
      <c r="E143" s="238" t="str">
        <f>IFERROR(VLOOKUP($A143,'SCH E'!$C$15:$G$58,5,FALSE),"")</f>
        <v/>
      </c>
      <c r="F143" s="284">
        <v>0.08</v>
      </c>
      <c r="P143" t="s">
        <v>455</v>
      </c>
    </row>
    <row r="144" spans="1:16" hidden="1" x14ac:dyDescent="0.25">
      <c r="A144" s="215" t="s">
        <v>297</v>
      </c>
      <c r="B144" s="216" t="s">
        <v>318</v>
      </c>
      <c r="C144" s="217" t="s">
        <v>197</v>
      </c>
      <c r="D144" s="223" t="str">
        <f>IFERROR(VLOOKUP($A144,'SCH E'!$C$15:$E$58,3,FALSE),"")</f>
        <v/>
      </c>
      <c r="E144" s="238" t="str">
        <f>IFERROR(VLOOKUP($A144,'SCH E'!$C$15:$G$58,5,FALSE),"")</f>
        <v/>
      </c>
    </row>
    <row r="145" spans="1:5" hidden="1" x14ac:dyDescent="0.25">
      <c r="A145" s="205" t="s">
        <v>298</v>
      </c>
      <c r="B145" s="205" t="s">
        <v>319</v>
      </c>
      <c r="C145" s="207" t="s">
        <v>197</v>
      </c>
      <c r="D145" s="223" t="str">
        <f>IFERROR(VLOOKUP($A145,'SCH E'!$C$15:$E$58,3,FALSE),"")</f>
        <v/>
      </c>
      <c r="E145" s="238" t="str">
        <f>IFERROR(VLOOKUP($A145,'SCH E'!$C$15:$G$58,5,FALSE),"")</f>
        <v/>
      </c>
    </row>
    <row r="146" spans="1:5" hidden="1" x14ac:dyDescent="0.25">
      <c r="A146" s="204" t="s">
        <v>299</v>
      </c>
      <c r="B146" s="204" t="s">
        <v>320</v>
      </c>
      <c r="C146" s="206" t="s">
        <v>197</v>
      </c>
      <c r="D146" s="223" t="str">
        <f>IFERROR(VLOOKUP($A146,'SCH E'!$C$15:$E$58,3,FALSE),"")</f>
        <v/>
      </c>
      <c r="E146" s="238" t="str">
        <f>IFERROR(VLOOKUP($A146,'SCH E'!$C$15:$G$58,5,FALSE),"")</f>
        <v/>
      </c>
    </row>
    <row r="147" spans="1:5" hidden="1" x14ac:dyDescent="0.25">
      <c r="A147" s="205" t="s">
        <v>300</v>
      </c>
      <c r="B147" s="205" t="s">
        <v>321</v>
      </c>
      <c r="C147" s="207" t="s">
        <v>197</v>
      </c>
      <c r="D147" s="223" t="str">
        <f>IFERROR(VLOOKUP($A147,'SCH E'!$C$15:$E$58,3,FALSE),"")</f>
        <v/>
      </c>
      <c r="E147" s="238" t="str">
        <f>IFERROR(VLOOKUP($A147,'SCH E'!$C$15:$G$58,5,FALSE),"")</f>
        <v/>
      </c>
    </row>
    <row r="148" spans="1:5" hidden="1" x14ac:dyDescent="0.25">
      <c r="A148" s="204" t="s">
        <v>301</v>
      </c>
      <c r="B148" s="204" t="s">
        <v>322</v>
      </c>
      <c r="C148" s="206" t="s">
        <v>197</v>
      </c>
      <c r="D148" s="223" t="str">
        <f>IFERROR(VLOOKUP($A148,'SCH E'!$C$15:$E$58,3,FALSE),"")</f>
        <v/>
      </c>
      <c r="E148" s="238" t="str">
        <f>IFERROR(VLOOKUP($A148,'SCH E'!$C$15:$G$58,5,FALSE),"")</f>
        <v/>
      </c>
    </row>
    <row r="149" spans="1:5" hidden="1" x14ac:dyDescent="0.25">
      <c r="A149" s="205" t="s">
        <v>302</v>
      </c>
      <c r="B149" s="205" t="s">
        <v>323</v>
      </c>
      <c r="C149" s="207" t="s">
        <v>197</v>
      </c>
      <c r="D149" s="223" t="str">
        <f>IFERROR(VLOOKUP($A149,'SCH E'!$C$15:$E$58,3,FALSE),"")</f>
        <v/>
      </c>
      <c r="E149" s="238" t="str">
        <f>IFERROR(VLOOKUP($A149,'SCH E'!$C$15:$G$58,5,FALSE),"")</f>
        <v/>
      </c>
    </row>
    <row r="150" spans="1:5" hidden="1" x14ac:dyDescent="0.25">
      <c r="A150" s="204" t="s">
        <v>303</v>
      </c>
      <c r="B150" s="204" t="s">
        <v>324</v>
      </c>
      <c r="C150" s="206" t="s">
        <v>197</v>
      </c>
      <c r="D150" s="223" t="str">
        <f>IFERROR(VLOOKUP($A150,'SCH E'!$C$15:$E$58,3,FALSE),"")</f>
        <v/>
      </c>
      <c r="E150" s="238" t="str">
        <f>IFERROR(VLOOKUP($A150,'SCH E'!$C$15:$G$58,5,FALSE),"")</f>
        <v/>
      </c>
    </row>
    <row r="151" spans="1:5" hidden="1" x14ac:dyDescent="0.25">
      <c r="A151" s="205" t="s">
        <v>304</v>
      </c>
      <c r="B151" s="205" t="s">
        <v>325</v>
      </c>
      <c r="C151" s="207" t="s">
        <v>197</v>
      </c>
      <c r="D151" s="223" t="str">
        <f>IFERROR(VLOOKUP($A151,'SCH E'!$C$15:$E$58,3,FALSE),"")</f>
        <v/>
      </c>
      <c r="E151" s="238" t="str">
        <f>IFERROR(VLOOKUP($A151,'SCH E'!$C$15:$G$58,5,FALSE),"")</f>
        <v/>
      </c>
    </row>
    <row r="152" spans="1:5" hidden="1" x14ac:dyDescent="0.25">
      <c r="A152" s="204" t="s">
        <v>305</v>
      </c>
      <c r="B152" s="204" t="s">
        <v>326</v>
      </c>
      <c r="C152" s="206" t="s">
        <v>197</v>
      </c>
      <c r="D152" s="223" t="str">
        <f>IFERROR(VLOOKUP($A152,'SCH E'!$C$15:$E$58,3,FALSE),"")</f>
        <v/>
      </c>
      <c r="E152" s="238" t="str">
        <f>IFERROR(VLOOKUP($A152,'SCH E'!$C$15:$G$58,5,FALSE),"")</f>
        <v/>
      </c>
    </row>
    <row r="153" spans="1:5" hidden="1" x14ac:dyDescent="0.25">
      <c r="A153" s="205" t="s">
        <v>306</v>
      </c>
      <c r="B153" s="205" t="s">
        <v>327</v>
      </c>
      <c r="C153" s="207" t="s">
        <v>197</v>
      </c>
      <c r="D153" s="223" t="str">
        <f>IFERROR(VLOOKUP($A153,'SCH E'!$C$15:$E$58,3,FALSE),"")</f>
        <v/>
      </c>
      <c r="E153" s="238" t="str">
        <f>IFERROR(VLOOKUP($A153,'SCH E'!$C$15:$G$58,5,FALSE),"")</f>
        <v/>
      </c>
    </row>
    <row r="154" spans="1:5" hidden="1" x14ac:dyDescent="0.25">
      <c r="A154" s="204" t="s">
        <v>307</v>
      </c>
      <c r="B154" s="204" t="s">
        <v>328</v>
      </c>
      <c r="C154" s="206" t="s">
        <v>197</v>
      </c>
      <c r="D154" s="223" t="str">
        <f>IFERROR(VLOOKUP($A154,'SCH E'!$C$15:$E$58,3,FALSE),"")</f>
        <v/>
      </c>
      <c r="E154" s="238" t="str">
        <f>IFERROR(VLOOKUP($A154,'SCH E'!$C$15:$G$58,5,FALSE),"")</f>
        <v/>
      </c>
    </row>
    <row r="155" spans="1:5" hidden="1" x14ac:dyDescent="0.25">
      <c r="A155" s="205" t="s">
        <v>308</v>
      </c>
      <c r="B155" s="205" t="s">
        <v>329</v>
      </c>
      <c r="C155" s="207" t="s">
        <v>197</v>
      </c>
      <c r="D155" s="223" t="str">
        <f>IFERROR(VLOOKUP($A155,'SCH E'!$C$15:$E$58,3,FALSE),"")</f>
        <v/>
      </c>
      <c r="E155" s="238" t="str">
        <f>IFERROR(VLOOKUP($A155,'SCH E'!$C$15:$G$58,5,FALSE),"")</f>
        <v/>
      </c>
    </row>
    <row r="156" spans="1:5" hidden="1" x14ac:dyDescent="0.25">
      <c r="A156" s="204" t="s">
        <v>309</v>
      </c>
      <c r="B156" s="204" t="s">
        <v>330</v>
      </c>
      <c r="C156" s="206" t="s">
        <v>197</v>
      </c>
      <c r="D156" s="223" t="str">
        <f>IFERROR(VLOOKUP($A156,'SCH E'!$C$15:$E$58,3,FALSE),"")</f>
        <v/>
      </c>
      <c r="E156" s="238" t="str">
        <f>IFERROR(VLOOKUP($A156,'SCH E'!$C$15:$G$58,5,FALSE),"")</f>
        <v/>
      </c>
    </row>
    <row r="157" spans="1:5" hidden="1" x14ac:dyDescent="0.25">
      <c r="A157" s="205" t="s">
        <v>310</v>
      </c>
      <c r="B157" s="205" t="s">
        <v>331</v>
      </c>
      <c r="C157" s="207" t="s">
        <v>197</v>
      </c>
      <c r="D157" s="223" t="str">
        <f>IFERROR(VLOOKUP($A157,'SCH E'!$C$15:$E$58,3,FALSE),"")</f>
        <v/>
      </c>
      <c r="E157" s="238" t="str">
        <f>IFERROR(VLOOKUP($A157,'SCH E'!$C$15:$G$58,5,FALSE),"")</f>
        <v/>
      </c>
    </row>
    <row r="158" spans="1:5" hidden="1" x14ac:dyDescent="0.25">
      <c r="A158" s="204" t="s">
        <v>311</v>
      </c>
      <c r="B158" s="204" t="s">
        <v>332</v>
      </c>
      <c r="C158" s="206" t="s">
        <v>197</v>
      </c>
      <c r="D158" s="223" t="str">
        <f>IFERROR(VLOOKUP($A158,'SCH E'!$C$15:$E$58,3,FALSE),"")</f>
        <v/>
      </c>
      <c r="E158" s="238" t="str">
        <f>IFERROR(VLOOKUP($A158,'SCH E'!$C$15:$G$58,5,FALSE),"")</f>
        <v/>
      </c>
    </row>
    <row r="159" spans="1:5" hidden="1" x14ac:dyDescent="0.25">
      <c r="A159" s="205" t="s">
        <v>312</v>
      </c>
      <c r="B159" s="205" t="s">
        <v>333</v>
      </c>
      <c r="C159" s="207" t="s">
        <v>197</v>
      </c>
      <c r="D159" s="223" t="str">
        <f>IFERROR(VLOOKUP($A159,'SCH E'!$C$15:$E$58,3,FALSE),"")</f>
        <v/>
      </c>
      <c r="E159" s="238" t="str">
        <f>IFERROR(VLOOKUP($A159,'SCH E'!$C$15:$G$58,5,FALSE),"")</f>
        <v/>
      </c>
    </row>
    <row r="160" spans="1:5" hidden="1" x14ac:dyDescent="0.25">
      <c r="A160" s="204" t="s">
        <v>313</v>
      </c>
      <c r="B160" s="204" t="s">
        <v>334</v>
      </c>
      <c r="C160" s="206" t="s">
        <v>197</v>
      </c>
      <c r="D160" s="223" t="str">
        <f>IFERROR(VLOOKUP($A160,'SCH E'!$C$15:$E$58,3,FALSE),"")</f>
        <v/>
      </c>
      <c r="E160" s="238" t="str">
        <f>IFERROR(VLOOKUP($A160,'SCH E'!$C$15:$G$58,5,FALSE),"")</f>
        <v/>
      </c>
    </row>
    <row r="161" spans="1:5" hidden="1" x14ac:dyDescent="0.25">
      <c r="A161" s="205" t="s">
        <v>314</v>
      </c>
      <c r="B161" s="205" t="s">
        <v>335</v>
      </c>
      <c r="C161" s="207" t="s">
        <v>197</v>
      </c>
      <c r="D161" s="223" t="str">
        <f>IFERROR(VLOOKUP($A161,'SCH E'!$C$15:$E$58,3,FALSE),"")</f>
        <v/>
      </c>
      <c r="E161" s="238" t="str">
        <f>IFERROR(VLOOKUP($A161,'SCH E'!$C$15:$G$58,5,FALSE),"")</f>
        <v/>
      </c>
    </row>
    <row r="162" spans="1:5" hidden="1" x14ac:dyDescent="0.25">
      <c r="A162" s="204" t="s">
        <v>315</v>
      </c>
      <c r="B162" s="204" t="s">
        <v>336</v>
      </c>
      <c r="C162" s="206" t="s">
        <v>197</v>
      </c>
      <c r="D162" s="223" t="str">
        <f>IFERROR(VLOOKUP($A162,'SCH E'!$C$15:$E$58,3,FALSE),"")</f>
        <v/>
      </c>
      <c r="E162" s="238" t="str">
        <f>IFERROR(VLOOKUP($A162,'SCH E'!$C$15:$G$58,5,FALSE),"")</f>
        <v/>
      </c>
    </row>
    <row r="163" spans="1:5" hidden="1" x14ac:dyDescent="0.25">
      <c r="A163" s="205" t="s">
        <v>316</v>
      </c>
      <c r="B163" s="205" t="s">
        <v>337</v>
      </c>
      <c r="C163" s="207" t="s">
        <v>197</v>
      </c>
      <c r="D163" s="223" t="str">
        <f>IFERROR(VLOOKUP($A163,'SCH E'!$C$15:$E$58,3,FALSE),"")</f>
        <v/>
      </c>
      <c r="E163" s="238" t="str">
        <f>IFERROR(VLOOKUP($A163,'SCH E'!$C$15:$G$58,5,FALSE),"")</f>
        <v/>
      </c>
    </row>
    <row r="164" spans="1:5" hidden="1" x14ac:dyDescent="0.25">
      <c r="A164" s="204" t="s">
        <v>317</v>
      </c>
      <c r="B164" s="204" t="s">
        <v>338</v>
      </c>
      <c r="C164" s="206" t="s">
        <v>197</v>
      </c>
      <c r="D164" s="223" t="str">
        <f>IFERROR(VLOOKUP($A164,'SCH E'!$C$15:$E$58,3,FALSE),"")</f>
        <v/>
      </c>
      <c r="E164" s="238" t="str">
        <f>IFERROR(VLOOKUP($A164,'SCH E'!$C$15:$G$58,5,FALSE),"")</f>
        <v/>
      </c>
    </row>
    <row r="165" spans="1:5" hidden="1" x14ac:dyDescent="0.25">
      <c r="A165" s="205" t="s">
        <v>339</v>
      </c>
      <c r="B165" s="205" t="s">
        <v>347</v>
      </c>
      <c r="C165" s="205" t="s">
        <v>197</v>
      </c>
      <c r="D165" s="223" t="str">
        <f>IFERROR(VLOOKUP($A165,'SCH E'!$C$15:$E$58,3,FALSE),"")</f>
        <v/>
      </c>
      <c r="E165" s="238" t="str">
        <f>IFERROR(VLOOKUP($A165,'SCH E'!$C$15:$G$58,5,FALSE),"")</f>
        <v/>
      </c>
    </row>
    <row r="166" spans="1:5" hidden="1" x14ac:dyDescent="0.25">
      <c r="A166" s="204" t="s">
        <v>340</v>
      </c>
      <c r="B166" s="204" t="s">
        <v>348</v>
      </c>
      <c r="C166" s="204" t="s">
        <v>197</v>
      </c>
      <c r="D166" s="223" t="str">
        <f>IFERROR(VLOOKUP($A166,'SCH E'!$C$15:$E$58,3,FALSE),"")</f>
        <v/>
      </c>
      <c r="E166" s="238" t="str">
        <f>IFERROR(VLOOKUP($A166,'SCH E'!$C$15:$G$58,5,FALSE),"")</f>
        <v/>
      </c>
    </row>
    <row r="167" spans="1:5" hidden="1" x14ac:dyDescent="0.25">
      <c r="A167" s="205" t="s">
        <v>341</v>
      </c>
      <c r="B167" s="205" t="s">
        <v>349</v>
      </c>
      <c r="C167" s="205" t="s">
        <v>197</v>
      </c>
      <c r="D167" s="223" t="str">
        <f>IFERROR(VLOOKUP($A167,'SCH E'!$C$15:$E$58,3,FALSE),"")</f>
        <v/>
      </c>
      <c r="E167" s="238" t="str">
        <f>IFERROR(VLOOKUP($A167,'SCH E'!$C$15:$G$58,5,FALSE),"")</f>
        <v/>
      </c>
    </row>
    <row r="168" spans="1:5" hidden="1" x14ac:dyDescent="0.25">
      <c r="A168" s="204" t="s">
        <v>342</v>
      </c>
      <c r="B168" s="204" t="s">
        <v>350</v>
      </c>
      <c r="C168" s="204" t="s">
        <v>197</v>
      </c>
      <c r="D168" s="223" t="str">
        <f>IFERROR(VLOOKUP($A168,'SCH E'!$C$15:$E$58,3,FALSE),"")</f>
        <v/>
      </c>
      <c r="E168" s="238" t="str">
        <f>IFERROR(VLOOKUP($A168,'SCH E'!$C$15:$G$58,5,FALSE),"")</f>
        <v/>
      </c>
    </row>
    <row r="169" spans="1:5" hidden="1" x14ac:dyDescent="0.25">
      <c r="A169" s="205" t="s">
        <v>343</v>
      </c>
      <c r="B169" s="205" t="s">
        <v>351</v>
      </c>
      <c r="C169" s="205" t="s">
        <v>197</v>
      </c>
      <c r="D169" s="223" t="str">
        <f>IFERROR(VLOOKUP($A169,'SCH E'!$C$15:$E$58,3,FALSE),"")</f>
        <v/>
      </c>
      <c r="E169" s="238" t="str">
        <f>IFERROR(VLOOKUP($A169,'SCH E'!$C$15:$G$58,5,FALSE),"")</f>
        <v/>
      </c>
    </row>
    <row r="170" spans="1:5" hidden="1" x14ac:dyDescent="0.25">
      <c r="A170" s="204" t="s">
        <v>344</v>
      </c>
      <c r="B170" s="204" t="s">
        <v>352</v>
      </c>
      <c r="C170" s="204" t="s">
        <v>197</v>
      </c>
      <c r="D170" s="223" t="str">
        <f>IFERROR(VLOOKUP($A170,'SCH E'!$C$15:$E$58,3,FALSE),"")</f>
        <v/>
      </c>
      <c r="E170" s="238" t="str">
        <f>IFERROR(VLOOKUP($A170,'SCH E'!$C$15:$G$58,5,FALSE),"")</f>
        <v/>
      </c>
    </row>
    <row r="171" spans="1:5" hidden="1" x14ac:dyDescent="0.25">
      <c r="A171" s="205" t="s">
        <v>345</v>
      </c>
      <c r="B171" s="205" t="s">
        <v>353</v>
      </c>
      <c r="C171" s="205" t="s">
        <v>197</v>
      </c>
      <c r="D171" s="223" t="str">
        <f>IFERROR(VLOOKUP($A171,'SCH E'!$C$15:$E$58,3,FALSE),"")</f>
        <v/>
      </c>
      <c r="E171" s="238" t="str">
        <f>IFERROR(VLOOKUP($A171,'SCH E'!$C$15:$G$58,5,FALSE),"")</f>
        <v/>
      </c>
    </row>
    <row r="172" spans="1:5" hidden="1" x14ac:dyDescent="0.25">
      <c r="A172" s="204" t="s">
        <v>346</v>
      </c>
      <c r="B172" s="204" t="s">
        <v>354</v>
      </c>
      <c r="C172" s="204" t="s">
        <v>197</v>
      </c>
      <c r="D172" s="223" t="str">
        <f>IFERROR(VLOOKUP($A172,'SCH E'!$C$15:$E$58,3,FALSE),"")</f>
        <v/>
      </c>
      <c r="E172" s="238" t="str">
        <f>IFERROR(VLOOKUP($A172,'SCH E'!$C$15:$G$58,5,FALSE),"")</f>
        <v/>
      </c>
    </row>
    <row r="173" spans="1:5" ht="26.25" hidden="1" x14ac:dyDescent="0.25">
      <c r="A173" s="215" t="s">
        <v>297</v>
      </c>
      <c r="B173" s="221" t="s">
        <v>318</v>
      </c>
      <c r="C173" s="217" t="s">
        <v>197</v>
      </c>
      <c r="D173" s="223" t="str">
        <f>IFERROR(VLOOKUP($A173,'SCH E'!$C$15:$E$58,3,FALSE),"")</f>
        <v/>
      </c>
      <c r="E173" s="238" t="str">
        <f>IFERROR(VLOOKUP($A173,'SCH E'!$C$15:$G$58,5,FALSE),"")</f>
        <v/>
      </c>
    </row>
    <row r="174" spans="1:5" ht="26.25" hidden="1" x14ac:dyDescent="0.25">
      <c r="A174" s="205" t="s">
        <v>298</v>
      </c>
      <c r="B174" s="212" t="s">
        <v>319</v>
      </c>
      <c r="C174" s="207" t="s">
        <v>197</v>
      </c>
      <c r="D174" s="223" t="str">
        <f>IFERROR(VLOOKUP($A174,'SCH E'!$C$15:$E$58,3,FALSE),"")</f>
        <v/>
      </c>
      <c r="E174" s="238" t="str">
        <f>IFERROR(VLOOKUP($A174,'SCH E'!$C$15:$G$58,5,FALSE),"")</f>
        <v/>
      </c>
    </row>
    <row r="175" spans="1:5" ht="26.25" hidden="1" x14ac:dyDescent="0.25">
      <c r="A175" s="204" t="s">
        <v>299</v>
      </c>
      <c r="B175" s="213" t="s">
        <v>320</v>
      </c>
      <c r="C175" s="206" t="s">
        <v>197</v>
      </c>
      <c r="D175" s="223" t="str">
        <f>IFERROR(VLOOKUP($A175,'SCH E'!$C$15:$E$58,3,FALSE),"")</f>
        <v/>
      </c>
      <c r="E175" s="238" t="str">
        <f>IFERROR(VLOOKUP($A175,'SCH E'!$C$15:$G$58,5,FALSE),"")</f>
        <v/>
      </c>
    </row>
    <row r="176" spans="1:5" ht="26.25" hidden="1" x14ac:dyDescent="0.25">
      <c r="A176" s="205" t="s">
        <v>300</v>
      </c>
      <c r="B176" s="212" t="s">
        <v>321</v>
      </c>
      <c r="C176" s="207" t="s">
        <v>197</v>
      </c>
      <c r="D176" s="223" t="str">
        <f>IFERROR(VLOOKUP($A176,'SCH E'!$C$15:$E$58,3,FALSE),"")</f>
        <v/>
      </c>
      <c r="E176" s="238" t="str">
        <f>IFERROR(VLOOKUP($A176,'SCH E'!$C$15:$G$58,5,FALSE),"")</f>
        <v/>
      </c>
    </row>
    <row r="177" spans="1:5" ht="26.25" hidden="1" x14ac:dyDescent="0.25">
      <c r="A177" s="204" t="s">
        <v>301</v>
      </c>
      <c r="B177" s="213" t="s">
        <v>322</v>
      </c>
      <c r="C177" s="206" t="s">
        <v>197</v>
      </c>
      <c r="D177" s="223" t="str">
        <f>IFERROR(VLOOKUP($A177,'SCH E'!$C$15:$E$58,3,FALSE),"")</f>
        <v/>
      </c>
      <c r="E177" s="238" t="str">
        <f>IFERROR(VLOOKUP($A177,'SCH E'!$C$15:$G$58,5,FALSE),"")</f>
        <v/>
      </c>
    </row>
    <row r="178" spans="1:5" ht="26.25" hidden="1" x14ac:dyDescent="0.25">
      <c r="A178" s="205" t="s">
        <v>302</v>
      </c>
      <c r="B178" s="212" t="s">
        <v>323</v>
      </c>
      <c r="C178" s="207" t="s">
        <v>197</v>
      </c>
      <c r="D178" s="223" t="str">
        <f>IFERROR(VLOOKUP($A178,'SCH E'!$C$15:$E$58,3,FALSE),"")</f>
        <v/>
      </c>
      <c r="E178" s="238" t="str">
        <f>IFERROR(VLOOKUP($A178,'SCH E'!$C$15:$G$58,5,FALSE),"")</f>
        <v/>
      </c>
    </row>
    <row r="179" spans="1:5" ht="26.25" hidden="1" x14ac:dyDescent="0.25">
      <c r="A179" s="204" t="s">
        <v>303</v>
      </c>
      <c r="B179" s="213" t="s">
        <v>324</v>
      </c>
      <c r="C179" s="206" t="s">
        <v>197</v>
      </c>
      <c r="D179" s="223" t="str">
        <f>IFERROR(VLOOKUP($A179,'SCH E'!$C$15:$E$58,3,FALSE),"")</f>
        <v/>
      </c>
      <c r="E179" s="238" t="str">
        <f>IFERROR(VLOOKUP($A179,'SCH E'!$C$15:$G$58,5,FALSE),"")</f>
        <v/>
      </c>
    </row>
    <row r="180" spans="1:5" ht="26.25" hidden="1" x14ac:dyDescent="0.25">
      <c r="A180" s="205" t="s">
        <v>310</v>
      </c>
      <c r="B180" s="212" t="s">
        <v>331</v>
      </c>
      <c r="C180" s="207" t="s">
        <v>197</v>
      </c>
      <c r="D180" s="223" t="str">
        <f>IFERROR(VLOOKUP($A180,'SCH E'!$C$15:$E$58,3,FALSE),"")</f>
        <v/>
      </c>
      <c r="E180" s="238" t="str">
        <f>IFERROR(VLOOKUP($A180,'SCH E'!$C$15:$G$58,5,FALSE),"")</f>
        <v/>
      </c>
    </row>
    <row r="181" spans="1:5" ht="26.25" hidden="1" x14ac:dyDescent="0.25">
      <c r="A181" s="204" t="s">
        <v>311</v>
      </c>
      <c r="B181" s="213" t="s">
        <v>332</v>
      </c>
      <c r="C181" s="206" t="s">
        <v>197</v>
      </c>
      <c r="D181" s="223" t="str">
        <f>IFERROR(VLOOKUP($A181,'SCH E'!$C$15:$E$58,3,FALSE),"")</f>
        <v/>
      </c>
      <c r="E181" s="238" t="str">
        <f>IFERROR(VLOOKUP($A181,'SCH E'!$C$15:$G$58,5,FALSE),"")</f>
        <v/>
      </c>
    </row>
    <row r="182" spans="1:5" ht="26.25" hidden="1" x14ac:dyDescent="0.25">
      <c r="A182" s="205" t="s">
        <v>312</v>
      </c>
      <c r="B182" s="212" t="s">
        <v>333</v>
      </c>
      <c r="C182" s="207" t="s">
        <v>197</v>
      </c>
      <c r="D182" s="223" t="str">
        <f>IFERROR(VLOOKUP($A182,'SCH E'!$C$15:$E$58,3,FALSE),"")</f>
        <v/>
      </c>
      <c r="E182" s="238" t="str">
        <f>IFERROR(VLOOKUP($A182,'SCH E'!$C$15:$G$58,5,FALSE),"")</f>
        <v/>
      </c>
    </row>
    <row r="183" spans="1:5" hidden="1" x14ac:dyDescent="0.25">
      <c r="A183" s="205" t="s">
        <v>339</v>
      </c>
      <c r="B183" s="205" t="s">
        <v>347</v>
      </c>
      <c r="C183" s="205" t="s">
        <v>197</v>
      </c>
      <c r="D183" s="223" t="str">
        <f>IFERROR(VLOOKUP($A183,'SCH E'!$C$15:$E$58,3,FALSE),"")</f>
        <v/>
      </c>
      <c r="E183" s="238" t="str">
        <f>IFERROR(VLOOKUP($A183,'SCH E'!$C$15:$G$58,5,FALSE),"")</f>
        <v/>
      </c>
    </row>
    <row r="184" spans="1:5" hidden="1" x14ac:dyDescent="0.25">
      <c r="A184" s="204" t="s">
        <v>340</v>
      </c>
      <c r="B184" s="204" t="s">
        <v>348</v>
      </c>
      <c r="C184" s="204" t="s">
        <v>197</v>
      </c>
      <c r="D184" s="223" t="str">
        <f>IFERROR(VLOOKUP($A184,'SCH E'!$C$15:$E$58,3,FALSE),"")</f>
        <v/>
      </c>
      <c r="E184" s="238" t="str">
        <f>IFERROR(VLOOKUP($A184,'SCH E'!$C$15:$G$58,5,FALSE),"")</f>
        <v/>
      </c>
    </row>
    <row r="185" spans="1:5" hidden="1" x14ac:dyDescent="0.25">
      <c r="A185" s="205" t="s">
        <v>341</v>
      </c>
      <c r="B185" s="205" t="s">
        <v>349</v>
      </c>
      <c r="C185" s="205" t="s">
        <v>197</v>
      </c>
      <c r="D185" s="223" t="str">
        <f>IFERROR(VLOOKUP($A185,'SCH E'!$C$15:$E$58,3,FALSE),"")</f>
        <v/>
      </c>
      <c r="E185" s="238" t="str">
        <f>IFERROR(VLOOKUP($A185,'SCH E'!$C$15:$G$58,5,FALSE),"")</f>
        <v/>
      </c>
    </row>
    <row r="186" spans="1:5" hidden="1" x14ac:dyDescent="0.25">
      <c r="A186" s="204" t="s">
        <v>342</v>
      </c>
      <c r="B186" s="204" t="s">
        <v>350</v>
      </c>
      <c r="C186" s="204" t="s">
        <v>197</v>
      </c>
      <c r="D186" s="223" t="str">
        <f>IFERROR(VLOOKUP($A186,'SCH E'!$C$15:$E$58,3,FALSE),"")</f>
        <v/>
      </c>
      <c r="E186" s="238" t="str">
        <f>IFERROR(VLOOKUP($A186,'SCH E'!$C$15:$G$58,5,FALSE),"")</f>
        <v/>
      </c>
    </row>
    <row r="187" spans="1:5" ht="18.600000000000001" hidden="1" customHeight="1" x14ac:dyDescent="0.25">
      <c r="A187" s="205" t="s">
        <v>343</v>
      </c>
      <c r="B187" s="205" t="s">
        <v>351</v>
      </c>
      <c r="C187" s="205" t="s">
        <v>197</v>
      </c>
      <c r="D187" s="223" t="str">
        <f>IFERROR(VLOOKUP($A187,'SCH E'!$C$15:$E$58,3,FALSE),"")</f>
        <v/>
      </c>
      <c r="E187" s="238" t="str">
        <f>IFERROR(VLOOKUP($A187,'SCH E'!$C$15:$G$58,5,FALSE),"")</f>
        <v/>
      </c>
    </row>
    <row r="188" spans="1:5" ht="20.45" hidden="1" customHeight="1" x14ac:dyDescent="0.25">
      <c r="A188" s="204" t="s">
        <v>344</v>
      </c>
      <c r="B188" s="204" t="s">
        <v>352</v>
      </c>
      <c r="C188" s="204" t="s">
        <v>197</v>
      </c>
      <c r="D188" s="223" t="str">
        <f>IFERROR(VLOOKUP($A188,'SCH E'!$C$15:$E$25,3,FALSE),"")</f>
        <v/>
      </c>
      <c r="E188" s="238" t="str">
        <f>IFERROR(VLOOKUP($A188,'SCH E'!$C$15:$G$25,5,FALSE),"")</f>
        <v/>
      </c>
    </row>
  </sheetData>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E65E-C9F5-4018-A558-D41D77FBBE2B}">
  <dimension ref="A1:M79"/>
  <sheetViews>
    <sheetView zoomScaleNormal="100" workbookViewId="0">
      <selection activeCell="O63" sqref="O63"/>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f>Instructions!P4</f>
        <v>0</v>
      </c>
      <c r="D5" s="41"/>
      <c r="E5" s="12"/>
      <c r="F5" s="12"/>
      <c r="G5" s="13"/>
      <c r="H5" s="14"/>
      <c r="I5" s="14" t="s">
        <v>4</v>
      </c>
      <c r="J5" s="15">
        <f ca="1" xml:space="preserve"> TODAY()</f>
        <v>46036</v>
      </c>
    </row>
    <row r="6" spans="1:10" ht="6" customHeight="1" x14ac:dyDescent="0.2">
      <c r="A6" s="11"/>
      <c r="B6" s="11"/>
      <c r="C6" s="274"/>
      <c r="D6" s="274"/>
      <c r="E6" s="12"/>
      <c r="F6" s="12"/>
      <c r="G6" s="13"/>
      <c r="H6" s="14"/>
      <c r="I6" s="14"/>
      <c r="J6" s="15"/>
    </row>
    <row r="7" spans="1:10" x14ac:dyDescent="0.2">
      <c r="A7" s="11" t="s">
        <v>3</v>
      </c>
      <c r="B7" s="11"/>
      <c r="C7" s="298">
        <f>Instructions!P5</f>
        <v>0</v>
      </c>
      <c r="D7" s="298"/>
      <c r="E7" s="298"/>
      <c r="F7" s="298"/>
      <c r="G7" s="298"/>
      <c r="H7" s="145"/>
      <c r="I7" s="145" t="s">
        <v>104</v>
      </c>
      <c r="J7" s="1" t="s">
        <v>434</v>
      </c>
    </row>
    <row r="8" spans="1:10" ht="6" customHeight="1" x14ac:dyDescent="0.2">
      <c r="A8" s="11"/>
      <c r="B8" s="11"/>
      <c r="C8" s="274"/>
      <c r="D8" s="274"/>
      <c r="E8" s="274"/>
      <c r="F8" s="274"/>
      <c r="G8" s="274"/>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273"/>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IFERROR(VLOOKUP(C15,inputSchF!$A$2:$F$188,6,FALSE),"")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IFERROR(VLOOKUP(C17,inputSchF!$A$2:$F$188,6,FALSE),"")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IFERROR(VLOOKUP(C19,inputSchF!$A$2:$F$188,6,FALSE),"")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IFERROR(VLOOKUP(C21,inputSchF!$A$2:$F$188,6,FALSE),"")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IFERROR(VLOOKUP(C23,inputSchF!$A$2:$F$188,6,FALSE),"")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IFERROR(VLOOKUP(C25,inputSchF!$A$2:$F$188,6,FALSE),"")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IFERROR(VLOOKUP(C40,inputSchF!$A$2:$F$188,6,FALSE),"")</f>
        <v/>
      </c>
      <c r="I40" s="239"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IFERROR(VLOOKUP(C42,inputSchF!$A$2:$F$188,6,FALSE),"")</f>
        <v/>
      </c>
      <c r="I42" s="239"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IFERROR(VLOOKUP(C44,inputSchF!$A$2:$F$188,6,FALSE),"")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IFERROR(VLOOKUP(C46,inputSchF!$A$2:$F$188,6,FALSE),"")</f>
        <v/>
      </c>
      <c r="I46" s="239" t="str">
        <f>IFERROR(H46/G46,"")</f>
        <v/>
      </c>
      <c r="J46" s="281" t="str">
        <f>IF(AND(ISNUMBER(E46),ISNUMBER(H46)),IF(E46*H46&gt;=1000,(E46*H46),"-"),"-")</f>
        <v>-</v>
      </c>
    </row>
    <row r="47" spans="1:10" x14ac:dyDescent="0.2">
      <c r="A47" s="295" t="s">
        <v>7</v>
      </c>
      <c r="B47" s="295"/>
      <c r="C47" s="295"/>
      <c r="D47" s="295"/>
      <c r="E47" s="295"/>
      <c r="F47" s="295"/>
      <c r="G47" s="295"/>
      <c r="H47" s="295"/>
      <c r="I47" s="272"/>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72"/>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187"/>
    </row>
    <row r="79" spans="1:10" x14ac:dyDescent="0.2">
      <c r="A79" s="39"/>
      <c r="B79" s="39"/>
      <c r="C79" s="280" t="s">
        <v>458</v>
      </c>
      <c r="D79" s="40"/>
      <c r="E79" s="8"/>
      <c r="F79" s="8"/>
      <c r="G79" s="9"/>
      <c r="H79" s="9"/>
      <c r="I79" s="9"/>
      <c r="J79" s="187" t="str">
        <f>Instructions!M11</f>
        <v>EFL-TM-ESS-01(13)</v>
      </c>
    </row>
  </sheetData>
  <dataConsolidate/>
  <mergeCells count="11">
    <mergeCell ref="A36:J36"/>
    <mergeCell ref="A1:J1"/>
    <mergeCell ref="C7:G7"/>
    <mergeCell ref="A12:J12"/>
    <mergeCell ref="A27:J27"/>
    <mergeCell ref="A28:J28"/>
    <mergeCell ref="A37:J37"/>
    <mergeCell ref="A47:H47"/>
    <mergeCell ref="A50:J50"/>
    <mergeCell ref="A51:J51"/>
    <mergeCell ref="A60:H60"/>
  </mergeCells>
  <conditionalFormatting sqref="H15">
    <cfRule type="expression" dxfId="12" priority="19">
      <formula>AND($H15=0,$E15&gt;0)=TRUE</formula>
    </cfRule>
  </conditionalFormatting>
  <conditionalFormatting sqref="H17">
    <cfRule type="expression" dxfId="11" priority="9">
      <formula>AND($H17=0,$E17&gt;0)=TRUE</formula>
    </cfRule>
  </conditionalFormatting>
  <conditionalFormatting sqref="H19">
    <cfRule type="expression" dxfId="10" priority="8">
      <formula>AND($H19=0,$E19&gt;0)=TRUE</formula>
    </cfRule>
  </conditionalFormatting>
  <conditionalFormatting sqref="H21">
    <cfRule type="expression" dxfId="9" priority="7">
      <formula>AND($H21=0,$E21&gt;0)=TRUE</formula>
    </cfRule>
  </conditionalFormatting>
  <conditionalFormatting sqref="H23">
    <cfRule type="expression" dxfId="8" priority="6">
      <formula>AND($H23=0,$E23&gt;0)=TRUE</formula>
    </cfRule>
  </conditionalFormatting>
  <conditionalFormatting sqref="H25">
    <cfRule type="expression" dxfId="7" priority="4">
      <formula>AND($H25=0,$E25&gt;0)=TRUE</formula>
    </cfRule>
  </conditionalFormatting>
  <conditionalFormatting sqref="H40">
    <cfRule type="expression" dxfId="6" priority="10">
      <formula>AND($H40=0,$E40&gt;0)=TRUE</formula>
    </cfRule>
  </conditionalFormatting>
  <conditionalFormatting sqref="H42">
    <cfRule type="expression" dxfId="5" priority="3">
      <formula>AND($H42=0,$E42&gt;0)=TRUE</formula>
    </cfRule>
  </conditionalFormatting>
  <conditionalFormatting sqref="H44">
    <cfRule type="expression" dxfId="4" priority="2">
      <formula>AND($H44=0,$E44&gt;0)=TRUE</formula>
    </cfRule>
  </conditionalFormatting>
  <conditionalFormatting sqref="H46">
    <cfRule type="expression" dxfId="3" priority="1">
      <formula>AND($H46=0,$E46&gt;0)=TRUE</formula>
    </cfRule>
  </conditionalFormatting>
  <dataValidations count="9">
    <dataValidation allowBlank="1" showInputMessage="1" showErrorMessage="1" prompt="If your Q_Ton unit price is highlighted in red, ensure quantity and unit price have both been entered, then check the line item in the &quot;inputSchA&quot; tab to review further instructions. " sqref="H15 H44 H40 H17 H19 H21 H23 H42 H25 H46" xr:uid="{E5846E0E-CCDF-49DE-A294-247BDECB8024}"/>
    <dataValidation type="list" allowBlank="1" showErrorMessage="1" promptTitle="Select Schedule Type " prompt="Select Schedule or Option " sqref="H7" xr:uid="{136CDBCB-E6DC-4A94-9DC3-15D26EDF77DB}">
      <formula1>", Schedule: , Option: "</formula1>
    </dataValidation>
    <dataValidation type="list" allowBlank="1" showInputMessage="1" showErrorMessage="1" promptTitle="Select Schedule Type " prompt="Select Schedule or Option " sqref="I7" xr:uid="{B98B2683-485B-4C2D-9066-8729740D0558}">
      <formula1>", Schedule: , Option: "</formula1>
    </dataValidation>
    <dataValidation allowBlank="1" showErrorMessage="1" promptTitle="Enter project name" prompt="Example:  Pinto Basin Road" sqref="C7:G7" xr:uid="{A2D4D4E4-E240-4074-BBD6-D1262EE9E732}"/>
    <dataValidation allowBlank="1" showErrorMessage="1" promptTitle="Enter project number" prompt="Example:  CA FTNP JOTR 11(5)" sqref="C5:D5" xr:uid="{1333DBC4-20E7-4776-BCEE-45F51E15BC62}"/>
    <dataValidation allowBlank="1" showInputMessage="1" showErrorMessage="1" error="Please use the drop-down menu to select the FP version" promptTitle="Select FP Version" prompt="In &quot;Instructions&quot; Tab" sqref="E3" xr:uid="{EA1052D8-0886-46C1-BA48-C052A86CACE5}"/>
    <dataValidation type="list" allowBlank="1" showInputMessage="1" showErrorMessage="1" error="Please use the drop-down menu to select the project units" promptTitle="Select Units" prompt="Select Metric or US Customary" sqref="J9" xr:uid="{B9A34C1F-DB3C-42C3-87D4-7B13A91A2295}">
      <formula1>"METRIC, US CUSTOMARY"</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05DE226B-64B0-4941-872E-1CE270735728}">
      <formula1>"  , A, B, C, D, E, F, G, W, X, Y, Z"</formula1>
    </dataValidation>
    <dataValidation type="whole" operator="greaterThanOrEqual" allowBlank="1" showInputMessage="1" showErrorMessage="1" error="Bid decimals set to zero._x000a__x000a_Contact Heidi Hirsbrunner (X3622)_x000a_                _x000a_to modify Incentive Spreadsheet." sqref="E31 E33:E35 E40:E42 E44:E46" xr:uid="{A8655532-FD0E-47EB-A701-A205D5C11692}">
      <formula1>0</formula1>
    </dataValidation>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50F777F-5293-45AE-BA65-0ED7D179434D}">
          <x14:formula1>
            <xm:f>inputSchA!$A$2:$A$143</xm:f>
          </x14:formula1>
          <xm:sqref>C15 C17 C19 C21 C23 C25</xm:sqref>
        </x14:dataValidation>
        <x14:dataValidation type="list" allowBlank="1" showInputMessage="1" showErrorMessage="1" prompt="For FP-24 Projects, select applicable 404 pay item from the list_x000a_For FP-14 Projects, select pay item 43101-0000 or 43102-0000 from the list" xr:uid="{B8AA71AC-5F60-4C6D-9415-741D6603C44D}">
          <x14:formula1>
            <xm:f>inputSchA!$A$136:$A$143</xm:f>
          </x14:formula1>
          <xm:sqref>C46 C40 C42 C44</xm:sqref>
        </x14:dataValidation>
        <x14:dataValidation type="list" allowBlank="1" showInputMessage="1" showErrorMessage="1" xr:uid="{E03053F7-26E6-4B85-99F4-8E58A233B262}">
          <x14:formula1>
            <xm:f>inputSchA!$A$144:$A$188</xm:f>
          </x14:formula1>
          <xm:sqref>A54 C35 C33 A58 A56 C31</xm:sqref>
        </x14:dataValidation>
        <x14:dataValidation type="list" allowBlank="1" showInputMessage="1" showErrorMessage="1" xr:uid="{E2C0D162-2962-476E-B2A8-A0BEDA4CF3D9}">
          <x14:formula1>
            <xm:f>inputSchA!$A$142:$A$142</xm:f>
          </x14:formula1>
          <xm:sqref>C45</xm:sqref>
        </x14:dataValidation>
        <x14:dataValidation type="list" allowBlank="1" showInputMessage="1" showErrorMessage="1" xr:uid="{C70240EA-468E-42A0-99FA-ADED19E55EE7}">
          <x14:formula1>
            <xm:f>inputSchA!$A$144:$A$172</xm:f>
          </x14:formula1>
          <xm:sqref>C41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C1660-2EA4-4529-B188-2EFB8E61544C}">
  <dimension ref="A1:P188"/>
  <sheetViews>
    <sheetView workbookViewId="0">
      <pane xSplit="3" ySplit="1" topLeftCell="D2" activePane="bottomRight" state="frozen"/>
      <selection activeCell="T35" sqref="T35"/>
      <selection pane="topRight" activeCell="T35" sqref="T35"/>
      <selection pane="bottomLeft" activeCell="T35" sqref="T35"/>
      <selection pane="bottomRight" activeCell="O26" sqref="O26"/>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F'!$C$15:$E$58,3,FALSE),"")</f>
        <v/>
      </c>
      <c r="E2" s="238" t="str">
        <f>IFERROR(VLOOKUP($A2,'SCH F'!$C$15:$G$58,5,FALSE),"")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F'!$C$15:$E$58,3,FALSE),"")</f>
        <v/>
      </c>
      <c r="E3" s="238" t="str">
        <f>IFERROR(VLOOKUP($A3,'SCH F'!$C$15:$G$58,5,FALSE),"")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F'!$C$15:$E$58,3,FALSE),"")</f>
        <v/>
      </c>
      <c r="E4" s="238" t="str">
        <f>IFERROR(VLOOKUP($A4,'SCH F'!$C$15:$G$58,5,FALSE),"")</f>
        <v/>
      </c>
      <c r="F4" s="26" t="e">
        <f t="shared" si="0"/>
        <v>#VALUE!</v>
      </c>
    </row>
    <row r="5" spans="1:6" x14ac:dyDescent="0.25">
      <c r="A5" s="205" t="s">
        <v>146</v>
      </c>
      <c r="B5" s="205" t="s">
        <v>200</v>
      </c>
      <c r="C5" s="207" t="s">
        <v>197</v>
      </c>
      <c r="D5" s="223" t="str">
        <f>IFERROR(VLOOKUP($A5,'SCH F'!$C$15:$E$58,3,FALSE),"")</f>
        <v/>
      </c>
      <c r="E5" s="238" t="str">
        <f>IFERROR(VLOOKUP($A5,'SCH F'!$C$15:$G$58,5,FALSE),"")</f>
        <v/>
      </c>
      <c r="F5" s="26" t="e">
        <f t="shared" si="0"/>
        <v>#VALUE!</v>
      </c>
    </row>
    <row r="6" spans="1:6" x14ac:dyDescent="0.25">
      <c r="A6" s="204" t="s">
        <v>147</v>
      </c>
      <c r="B6" s="204" t="s">
        <v>201</v>
      </c>
      <c r="C6" s="206" t="s">
        <v>197</v>
      </c>
      <c r="D6" s="223" t="str">
        <f>IFERROR(VLOOKUP($A6,'SCH F'!$C$15:$E$58,3,FALSE),"")</f>
        <v/>
      </c>
      <c r="E6" s="238" t="str">
        <f>IFERROR(VLOOKUP($A6,'SCH F'!$C$15:$G$58,5,FALSE),"")</f>
        <v/>
      </c>
      <c r="F6" s="26" t="e">
        <f t="shared" si="0"/>
        <v>#VALUE!</v>
      </c>
    </row>
    <row r="7" spans="1:6" x14ac:dyDescent="0.25">
      <c r="A7" s="205" t="s">
        <v>148</v>
      </c>
      <c r="B7" s="205" t="s">
        <v>196</v>
      </c>
      <c r="C7" s="207" t="s">
        <v>29</v>
      </c>
      <c r="D7" s="223" t="str">
        <f>IFERROR(VLOOKUP($A7,'SCH F'!$C$15:$E$58,3,FALSE),"")</f>
        <v/>
      </c>
      <c r="E7" s="238" t="str">
        <f>IFERROR(VLOOKUP($A7,'SCH F'!$C$15:$G$58,5,FALSE),"")</f>
        <v/>
      </c>
      <c r="F7" s="26" t="e">
        <f>IF(AND(D7&gt;=9523.81,D7&lt;19047.62),ROUND(E7*0.01,2),IF(AND(D7&gt;=19047.62,D7&lt;22222.22),ROUND(E7*0.03,2),IF(AND(D7&gt;=22222.22,D7&lt;25396.83),ROUND(E7*0.04,2),IF(AND(D7&gt;=25396.83),ROUND(E7*0.05,2),"-"))))</f>
        <v>#VALUE!</v>
      </c>
    </row>
    <row r="8" spans="1:6" x14ac:dyDescent="0.25">
      <c r="A8" s="204" t="s">
        <v>149</v>
      </c>
      <c r="B8" s="204" t="s">
        <v>202</v>
      </c>
      <c r="C8" s="206" t="s">
        <v>29</v>
      </c>
      <c r="D8" s="223" t="str">
        <f>IFERROR(VLOOKUP($A8,'SCH F'!$C$15:$E$58,3,FALSE),"")</f>
        <v/>
      </c>
      <c r="E8" s="238" t="str">
        <f>IFERROR(VLOOKUP($A8,'SCH F'!$C$15:$G$58,5,FALSE),"")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F'!$C$15:$E$58,3,FALSE),"")</f>
        <v/>
      </c>
      <c r="E9" s="238" t="str">
        <f>IFERROR(VLOOKUP($A9,'SCH F'!$C$15:$G$58,5,FALSE),"")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F'!$C$15:$E$58,3,FALSE),"")</f>
        <v/>
      </c>
      <c r="E10" s="238" t="str">
        <f>IFERROR(VLOOKUP($A10,'SCH F'!$C$15:$G$58,5,FALSE),"")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F'!$C$15:$E$58,3,FALSE),"")</f>
        <v/>
      </c>
      <c r="E11" s="238" t="str">
        <f>IFERROR(VLOOKUP($A11,'SCH F'!$C$15:$G$58,5,FALSE),"")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F'!$C$15:$E$58,3,FALSE),"")</f>
        <v/>
      </c>
      <c r="E12" s="238" t="str">
        <f>IFERROR(VLOOKUP($A12,'SCH F'!$C$15:$G$58,5,FALSE),"")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F'!$C$15:$E$58,3,FALSE),"")</f>
        <v/>
      </c>
      <c r="E13" s="238" t="str">
        <f>IFERROR(VLOOKUP($A13,'SCH F'!$C$15:$G$58,5,FALSE),"")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F'!$C$15:$E$58,3,FALSE),"")</f>
        <v/>
      </c>
      <c r="E14" s="238" t="str">
        <f>IFERROR(VLOOKUP($A14,'SCH F'!$C$15:$G$58,5,FALSE),"")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F'!$C$15:$E$58,3,FALSE),"")</f>
        <v/>
      </c>
      <c r="E15" s="238" t="str">
        <f>IFERROR(VLOOKUP($A15,'SCH F'!$C$15:$G$58,5,FALSE),"")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F'!$C$15:$E$58,3,FALSE),"")</f>
        <v/>
      </c>
      <c r="E16" s="238" t="str">
        <f>IFERROR(VLOOKUP($A16,'SCH F'!$C$15:$G$58,5,FALSE),"")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F'!$C$15:$E$58,3,FALSE),"")</f>
        <v/>
      </c>
      <c r="E17" s="238" t="str">
        <f>IFERROR(VLOOKUP($A17,'SCH F'!$C$15:$G$58,5,FALSE),"")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F'!$C$15:$E$58,3,FALSE),"")</f>
        <v/>
      </c>
      <c r="E18" s="238" t="str">
        <f>IFERROR(VLOOKUP($A18,'SCH F'!$C$15:$G$58,5,FALSE),"")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F'!$C$15:$E$58,3,FALSE),"")</f>
        <v/>
      </c>
      <c r="E19" s="238" t="str">
        <f>IFERROR(VLOOKUP($A19,'SCH F'!$C$15:$G$58,5,FALSE),"")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F'!$C$15:$E$58,3,FALSE),"")</f>
        <v/>
      </c>
      <c r="E20" s="238" t="str">
        <f>IFERROR(VLOOKUP($A20,'SCH F'!$C$15:$G$58,5,FALSE),"")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F'!$C$15:$E$58,3,FALSE),"")</f>
        <v/>
      </c>
      <c r="E21" s="238" t="str">
        <f>IFERROR(VLOOKUP($A21,'SCH F'!$C$15:$G$58,5,FALSE),"")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F'!$C$15:$E$58,3,FALSE),"")</f>
        <v/>
      </c>
      <c r="E22" s="238" t="str">
        <f>IFERROR(VLOOKUP($A22,'SCH F'!$C$15:$G$58,5,FALSE),"")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F'!$C$15:$E$58,3,FALSE),"")</f>
        <v/>
      </c>
      <c r="E23" s="238" t="str">
        <f>IFERROR(VLOOKUP($A23,'SCH F'!$C$15:$G$58,5,FALSE),"")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F'!$C$15:$E$58,3,FALSE),"")</f>
        <v/>
      </c>
      <c r="E24" s="238" t="str">
        <f>IFERROR(VLOOKUP($A24,'SCH F'!$C$15:$G$58,5,FALSE),"")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F'!$C$15:$E$58,3,FALSE),"")</f>
        <v/>
      </c>
      <c r="E25" s="238" t="str">
        <f>IFERROR(VLOOKUP($A25,'SCH F'!$C$15:$G$58,5,FALSE),"")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F'!$C$15:$E$58,3,FALSE),"")</f>
        <v/>
      </c>
      <c r="E26" s="238" t="str">
        <f>IFERROR(VLOOKUP($A26,'SCH F'!$C$15:$G$58,5,FALSE),"")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F'!$C$15:$E$58,3,FALSE),"")</f>
        <v/>
      </c>
      <c r="E27" s="238" t="str">
        <f>IFERROR(VLOOKUP($A27,'SCH F'!$C$15:$G$58,5,FALSE),"")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F'!$C$15:$E$58,3,FALSE),"")</f>
        <v/>
      </c>
      <c r="E28" s="238" t="str">
        <f>IFERROR(VLOOKUP($A28,'SCH F'!$C$15:$G$58,5,FALSE),"")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F'!$C$15:$E$58,3,FALSE),"")</f>
        <v/>
      </c>
      <c r="E29" s="238" t="str">
        <f>IFERROR(VLOOKUP($A29,'SCH F'!$C$15:$G$58,5,FALSE),"")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F'!$C$15:$E$58,3,FALSE),"")</f>
        <v/>
      </c>
      <c r="E30" s="238" t="str">
        <f>IFERROR(VLOOKUP($A30,'SCH F'!$C$15:$G$58,5,FALSE),"")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F'!$C$15:$E$58,3,FALSE),"")</f>
        <v/>
      </c>
      <c r="E31" s="238" t="str">
        <f>IFERROR(VLOOKUP($A31,'SCH F'!$C$15:$G$58,5,FALSE),"")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F'!$C$15:$E$58,3,FALSE),"")</f>
        <v/>
      </c>
      <c r="E32" s="238" t="str">
        <f>IFERROR(VLOOKUP($A32,'SCH F'!$C$15:$G$58,5,FALSE),"")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F'!$C$15:$E$58,3,FALSE),"")</f>
        <v/>
      </c>
      <c r="E33" s="238" t="str">
        <f>IFERROR(VLOOKUP($A33,'SCH F'!$C$15:$G$58,5,FALSE),"")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F'!$C$15:$E$58,3,FALSE),"")</f>
        <v/>
      </c>
      <c r="E34" s="238" t="str">
        <f>IFERROR(VLOOKUP($A34,'SCH F'!$C$15:$G$58,5,FALSE),"")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F'!$C$15:$E$58,3,FALSE),"")</f>
        <v/>
      </c>
      <c r="E35" s="238" t="str">
        <f>IFERROR(VLOOKUP($A35,'SCH F'!$C$15:$G$58,5,FALSE),"")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F'!$C$15:$E$58,3,FALSE),"")</f>
        <v/>
      </c>
      <c r="E36" s="238" t="str">
        <f>IFERROR(VLOOKUP($A36,'SCH F'!$C$15:$G$58,5,FALSE),"")</f>
        <v/>
      </c>
      <c r="F36" s="26" t="e">
        <f t="shared" si="1"/>
        <v>#VALUE!</v>
      </c>
    </row>
    <row r="37" spans="1:6" x14ac:dyDescent="0.25">
      <c r="A37" s="205" t="s">
        <v>141</v>
      </c>
      <c r="B37" s="205" t="s">
        <v>201</v>
      </c>
      <c r="C37" s="207" t="s">
        <v>227</v>
      </c>
      <c r="D37" s="223" t="str">
        <f>IFERROR(VLOOKUP($A37,'SCH F'!$C$15:$E$58,3,FALSE),"")</f>
        <v/>
      </c>
      <c r="E37" s="238" t="str">
        <f>IFERROR(VLOOKUP($A37,'SCH F'!$C$15:$G$58,5,FALSE),"")</f>
        <v/>
      </c>
      <c r="F37" s="26" t="e">
        <f t="shared" si="1"/>
        <v>#VALUE!</v>
      </c>
    </row>
    <row r="38" spans="1:6" x14ac:dyDescent="0.25">
      <c r="A38" s="204" t="s">
        <v>178</v>
      </c>
      <c r="B38" s="204" t="s">
        <v>228</v>
      </c>
      <c r="C38" s="206" t="s">
        <v>197</v>
      </c>
      <c r="D38" s="223" t="str">
        <f>IFERROR(VLOOKUP($A38,'SCH F'!$C$15:$E$58,3,FALSE),"")</f>
        <v/>
      </c>
      <c r="E38" s="238" t="str">
        <f>IFERROR(VLOOKUP($A38,'SCH F'!$C$15:$G$58,5,FALSE),"")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F'!$C$15:$E$58,3,FALSE),"")</f>
        <v/>
      </c>
      <c r="E39" s="238" t="str">
        <f>IFERROR(VLOOKUP($A39,'SCH F'!$C$15:$G$58,5,FALSE),"")</f>
        <v/>
      </c>
      <c r="F39" s="26" t="e">
        <f t="shared" si="2"/>
        <v>#VALUE!</v>
      </c>
    </row>
    <row r="40" spans="1:6" x14ac:dyDescent="0.25">
      <c r="A40" s="204" t="s">
        <v>180</v>
      </c>
      <c r="B40" s="204" t="s">
        <v>230</v>
      </c>
      <c r="C40" s="206" t="s">
        <v>197</v>
      </c>
      <c r="D40" s="223" t="str">
        <f>IFERROR(VLOOKUP($A40,'SCH F'!$C$15:$E$58,3,FALSE),"")</f>
        <v/>
      </c>
      <c r="E40" s="238" t="str">
        <f>IFERROR(VLOOKUP($A40,'SCH F'!$C$15:$G$58,5,FALSE),"")</f>
        <v/>
      </c>
      <c r="F40" s="26" t="e">
        <f t="shared" si="2"/>
        <v>#VALUE!</v>
      </c>
    </row>
    <row r="41" spans="1:6" x14ac:dyDescent="0.25">
      <c r="A41" s="205" t="s">
        <v>181</v>
      </c>
      <c r="B41" s="205" t="s">
        <v>231</v>
      </c>
      <c r="C41" s="207" t="s">
        <v>29</v>
      </c>
      <c r="D41" s="223" t="str">
        <f>IFERROR(VLOOKUP($A41,'SCH F'!$C$15:$E$58,3,FALSE),"")</f>
        <v/>
      </c>
      <c r="E41" s="238" t="str">
        <f>IFERROR(VLOOKUP($A41,'SCH F'!$C$15:$G$58,5,FALSE),"")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F'!$C$15:$E$58,3,FALSE),"")</f>
        <v/>
      </c>
      <c r="E42" s="238" t="str">
        <f>IFERROR(VLOOKUP($A42,'SCH F'!$C$15:$G$58,5,FALSE),"")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F'!$C$15:$E$58,3,FALSE),"")</f>
        <v/>
      </c>
      <c r="E43" s="238" t="str">
        <f>IFERROR(VLOOKUP($A43,'SCH F'!$C$15:$G$58,5,FALSE),"")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F'!$C$15:$E$58,3,FALSE),"")</f>
        <v/>
      </c>
      <c r="E44" s="238" t="str">
        <f>IFERROR(VLOOKUP($A44,'SCH F'!$C$15:$G$58,5,FALSE),"")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F'!$C$15:$E$58,3,FALSE),"")</f>
        <v/>
      </c>
      <c r="E45" s="238" t="str">
        <f>IFERROR(VLOOKUP($A45,'SCH F'!$C$15:$G$58,5,FALSE),"")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F'!$C$15:$E$58,3,FALSE),"")</f>
        <v/>
      </c>
      <c r="E46" s="238" t="str">
        <f>IFERROR(VLOOKUP($A46,'SCH F'!$C$15:$G$58,5,FALSE),"")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F'!$C$15:$E$58,3,FALSE),"")</f>
        <v/>
      </c>
      <c r="E47" s="238" t="str">
        <f>IFERROR(VLOOKUP($A47,'SCH F'!$C$15:$G$58,5,FALSE),"")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F'!$C$15:$E$58,3,FALSE),"")</f>
        <v/>
      </c>
      <c r="E48" s="238" t="str">
        <f>IFERROR(VLOOKUP($A48,'SCH F'!$C$15:$G$58,5,FALSE),"")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F'!$C$15:$E$58,3,FALSE),"")</f>
        <v/>
      </c>
      <c r="E49" s="238" t="str">
        <f>IFERROR(VLOOKUP($A49,'SCH F'!$C$15:$G$58,5,FALSE),"")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F'!$C$15:$E$58,3,FALSE),"")</f>
        <v/>
      </c>
      <c r="E50" s="238" t="str">
        <f>IFERROR(VLOOKUP($A50,'SCH F'!$C$15:$G$58,5,FALSE),"")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F'!$C$15:$E$58,3,FALSE),"")</f>
        <v/>
      </c>
      <c r="E51" s="238" t="str">
        <f>IFERROR(VLOOKUP($A51,'SCH F'!$C$15:$G$58,5,FALSE),"")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F'!$C$15:$E$58,3,FALSE),"")</f>
        <v/>
      </c>
      <c r="E52" s="238" t="str">
        <f>IFERROR(VLOOKUP($A52,'SCH F'!$C$15:$G$58,5,FALSE),"")</f>
        <v/>
      </c>
      <c r="F52" s="26" t="e">
        <f t="shared" si="3"/>
        <v>#VALUE!</v>
      </c>
    </row>
    <row r="53" spans="1:6" x14ac:dyDescent="0.25">
      <c r="A53" s="205" t="s">
        <v>193</v>
      </c>
      <c r="B53" s="205" t="s">
        <v>230</v>
      </c>
      <c r="C53" s="207" t="s">
        <v>227</v>
      </c>
      <c r="D53" s="223" t="str">
        <f>IFERROR(VLOOKUP($A53,'SCH F'!$C$15:$E$58,3,FALSE),"")</f>
        <v/>
      </c>
      <c r="E53" s="238" t="str">
        <f>IFERROR(VLOOKUP($A53,'SCH F'!$C$15:$G$58,5,FALSE),"")</f>
        <v/>
      </c>
      <c r="F53" s="26" t="e">
        <f t="shared" si="3"/>
        <v>#VALUE!</v>
      </c>
    </row>
    <row r="54" spans="1:6" x14ac:dyDescent="0.25">
      <c r="A54" s="204" t="s">
        <v>194</v>
      </c>
      <c r="B54" s="204" t="s">
        <v>241</v>
      </c>
      <c r="C54" s="206" t="s">
        <v>197</v>
      </c>
      <c r="D54" s="223" t="str">
        <f>IFERROR(VLOOKUP($A54,'SCH F'!$C$15:$E$58,3,FALSE),"")</f>
        <v/>
      </c>
      <c r="E54" s="238" t="str">
        <f>IFERROR(VLOOKUP($A54,'SCH F'!$C$15:$G$58,5,FALSE),"")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F'!$C$15:$E$58,3,FALSE),"")</f>
        <v/>
      </c>
      <c r="E55" s="238" t="str">
        <f>IFERROR(VLOOKUP($A55,'SCH F'!$C$15:$G$58,5,FALSE),"")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F'!$C$15:$E$58,3,FALSE),"")</f>
        <v/>
      </c>
      <c r="E56" s="238" t="str">
        <f>IFERROR(VLOOKUP($A56,'SCH F'!$C$15:$G$58,5,FALSE),"")</f>
        <v/>
      </c>
      <c r="F56" s="26" t="e">
        <f t="shared" si="4"/>
        <v>#VALUE!</v>
      </c>
    </row>
    <row r="57" spans="1:6" x14ac:dyDescent="0.25">
      <c r="A57" s="247" t="s">
        <v>364</v>
      </c>
      <c r="B57" s="249" t="s">
        <v>367</v>
      </c>
      <c r="C57" s="206" t="s">
        <v>197</v>
      </c>
      <c r="D57" s="223" t="str">
        <f>IFERROR(VLOOKUP($A57,'SCH F'!$C$15:$E$58,3,FALSE),"")</f>
        <v/>
      </c>
      <c r="E57" s="238" t="str">
        <f>IFERROR(VLOOKUP($A57,'SCH F'!$C$15:$G$58,5,FALSE),"")</f>
        <v/>
      </c>
      <c r="F57" s="26" t="e">
        <f t="shared" si="4"/>
        <v>#VALUE!</v>
      </c>
    </row>
    <row r="58" spans="1:6" x14ac:dyDescent="0.25">
      <c r="A58" s="248" t="s">
        <v>368</v>
      </c>
      <c r="B58" s="250" t="s">
        <v>241</v>
      </c>
      <c r="C58" s="250" t="s">
        <v>29</v>
      </c>
      <c r="D58" s="223" t="str">
        <f>IFERROR(VLOOKUP($A58,'SCH F'!$C$15:$E$58,3,FALSE),"")</f>
        <v/>
      </c>
      <c r="E58" s="238" t="str">
        <f>IFERROR(VLOOKUP($A58,'SCH F'!$C$15:$G$58,5,FALSE),"")</f>
        <v/>
      </c>
      <c r="F58" s="26"/>
    </row>
    <row r="59" spans="1:6" x14ac:dyDescent="0.25">
      <c r="A59" s="247" t="s">
        <v>369</v>
      </c>
      <c r="B59" s="249" t="s">
        <v>386</v>
      </c>
      <c r="C59" s="249" t="s">
        <v>29</v>
      </c>
      <c r="D59" s="223" t="str">
        <f>IFERROR(VLOOKUP($A59,'SCH F'!$C$15:$E$58,3,FALSE),"")</f>
        <v/>
      </c>
      <c r="E59" s="238" t="str">
        <f>IFERROR(VLOOKUP($A59,'SCH F'!$C$15:$G$58,5,FALSE),"")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F'!$C$15:$E$58,3,FALSE),"")</f>
        <v/>
      </c>
      <c r="E60" s="238" t="str">
        <f>IFERROR(VLOOKUP($A60,'SCH F'!$C$15:$G$58,5,FALSE),"")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F'!$C$15:$E$58,3,FALSE),"")</f>
        <v/>
      </c>
      <c r="E61" s="238" t="str">
        <f>IFERROR(VLOOKUP($A61,'SCH F'!$C$15:$G$58,5,FALSE),"")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F'!$C$15:$E$58,3,FALSE),"")</f>
        <v/>
      </c>
      <c r="E62" s="238" t="str">
        <f>IFERROR(VLOOKUP($A62,'SCH F'!$C$15:$G$58,5,FALSE),"")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F'!$C$15:$E$58,3,FALSE),"")</f>
        <v/>
      </c>
      <c r="E63" s="238" t="str">
        <f>IFERROR(VLOOKUP($A63,'SCH F'!$C$15:$G$58,5,FALSE),"")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F'!$C$15:$E$58,3,FALSE),"")</f>
        <v/>
      </c>
      <c r="E64" s="238" t="str">
        <f>IFERROR(VLOOKUP($A64,'SCH F'!$C$15:$G$58,5,FALSE),"")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F'!$C$15:$E$58,3,FALSE),"")</f>
        <v/>
      </c>
      <c r="E65" s="238" t="str">
        <f>IFERROR(VLOOKUP($A65,'SCH F'!$C$15:$G$58,5,FALSE),"")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F'!$C$15:$E$58,3,FALSE),"")</f>
        <v/>
      </c>
      <c r="E66" s="238" t="str">
        <f>IFERROR(VLOOKUP($A66,'SCH F'!$C$15:$G$58,5,FALSE),"")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F'!$C$15:$E$58,3,FALSE),"")</f>
        <v/>
      </c>
      <c r="E67" s="238" t="str">
        <f>IFERROR(VLOOKUP($A67,'SCH F'!$C$15:$G$58,5,FALSE),"")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F'!$C$15:$E$58,3,FALSE),"")</f>
        <v/>
      </c>
      <c r="E68" s="238" t="str">
        <f>IFERROR(VLOOKUP($A68,'SCH F'!$C$15:$G$58,5,FALSE),"")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F'!$C$15:$E$58,3,FALSE),"")</f>
        <v/>
      </c>
      <c r="E69" s="238" t="str">
        <f>IFERROR(VLOOKUP($A69,'SCH F'!$C$15:$G$58,5,FALSE),"")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F'!$C$15:$E$58,3,FALSE),"")</f>
        <v/>
      </c>
      <c r="E70" s="238" t="str">
        <f>IFERROR(VLOOKUP($A70,'SCH F'!$C$15:$G$58,5,FALSE),"")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F'!$C$15:$E$58,3,FALSE),"")</f>
        <v/>
      </c>
      <c r="E71" s="238" t="str">
        <f>IFERROR(VLOOKUP($A71,'SCH F'!$C$15:$G$58,5,FALSE),"")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F'!$C$15:$E$58,3,FALSE),"")</f>
        <v/>
      </c>
      <c r="E72" s="238" t="str">
        <f>IFERROR(VLOOKUP($A72,'SCH F'!$C$15:$G$58,5,FALSE),"")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F'!$C$15:$E$58,3,FALSE),"")</f>
        <v/>
      </c>
      <c r="E73" s="238" t="str">
        <f>IFERROR(VLOOKUP($A73,'SCH F'!$C$15:$G$58,5,FALSE),"")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F'!$C$15:$E$58,3,FALSE),"")</f>
        <v/>
      </c>
      <c r="E74" s="238" t="str">
        <f>IFERROR(VLOOKUP($A74,'SCH F'!$C$15:$G$58,5,FALSE),"")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F'!$C$15:$E$58,3,FALSE),"")</f>
        <v/>
      </c>
      <c r="E75" s="238" t="str">
        <f>IFERROR(VLOOKUP($A75,'SCH F'!$C$15:$G$58,5,FALSE),"")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F'!$C$15:$E$58,3,FALSE),"")</f>
        <v/>
      </c>
      <c r="E76" s="238" t="str">
        <f>IFERROR(VLOOKUP($A76,'SCH F'!$C$15:$G$58,5,FALSE),"")</f>
        <v/>
      </c>
      <c r="F76" s="26" t="e">
        <f t="shared" si="5"/>
        <v>#VALUE!</v>
      </c>
    </row>
    <row r="77" spans="1:6" x14ac:dyDescent="0.25">
      <c r="A77" s="247" t="s">
        <v>385</v>
      </c>
      <c r="B77" s="249" t="s">
        <v>367</v>
      </c>
      <c r="C77" s="249" t="s">
        <v>227</v>
      </c>
      <c r="D77" s="223" t="str">
        <f>IFERROR(VLOOKUP($A77,'SCH F'!$C$15:$E$58,3,FALSE),"")</f>
        <v/>
      </c>
      <c r="E77" s="238" t="str">
        <f>IFERROR(VLOOKUP($A77,'SCH F'!$C$15:$G$58,5,FALSE),"")</f>
        <v/>
      </c>
      <c r="F77" s="26" t="e">
        <f t="shared" si="5"/>
        <v>#VALUE!</v>
      </c>
    </row>
    <row r="78" spans="1:6" x14ac:dyDescent="0.25">
      <c r="A78" s="255" t="s">
        <v>401</v>
      </c>
      <c r="B78" s="256" t="s">
        <v>261</v>
      </c>
      <c r="C78" s="256" t="s">
        <v>197</v>
      </c>
      <c r="D78" s="223" t="str">
        <f>IFERROR(VLOOKUP($A78,'SCH F'!$C$15:$E$58,3,FALSE),"")</f>
        <v/>
      </c>
      <c r="E78" s="238" t="str">
        <f>IFERROR(VLOOKUP($A78,'SCH F'!$C$15:$G$58,5,FALSE),"")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F'!$C$15:$E$58,3,FALSE),"")</f>
        <v/>
      </c>
      <c r="E79" s="238" t="str">
        <f>IFERROR(VLOOKUP($A79,'SCH F'!$C$15:$G$58,5,FALSE),"")</f>
        <v/>
      </c>
      <c r="F79" s="26" t="e">
        <f t="shared" si="6"/>
        <v>#VALUE!</v>
      </c>
    </row>
    <row r="80" spans="1:6" x14ac:dyDescent="0.25">
      <c r="A80" s="255" t="s">
        <v>403</v>
      </c>
      <c r="B80" s="256" t="s">
        <v>263</v>
      </c>
      <c r="C80" s="256" t="s">
        <v>197</v>
      </c>
      <c r="D80" s="223" t="str">
        <f>IFERROR(VLOOKUP($A80,'SCH F'!$C$15:$E$58,3,FALSE),"")</f>
        <v/>
      </c>
      <c r="E80" s="238" t="str">
        <f>IFERROR(VLOOKUP($A80,'SCH F'!$C$15:$G$58,5,FALSE),"")</f>
        <v/>
      </c>
      <c r="F80" s="26" t="e">
        <f t="shared" si="6"/>
        <v>#VALUE!</v>
      </c>
    </row>
    <row r="81" spans="1:6" x14ac:dyDescent="0.25">
      <c r="A81" s="257" t="s">
        <v>404</v>
      </c>
      <c r="B81" s="258" t="s">
        <v>264</v>
      </c>
      <c r="C81" s="258" t="s">
        <v>197</v>
      </c>
      <c r="D81" s="223" t="str">
        <f>IFERROR(VLOOKUP($A81,'SCH F'!$C$15:$E$58,3,FALSE),"")</f>
        <v/>
      </c>
      <c r="E81" s="238" t="str">
        <f>IFERROR(VLOOKUP($A81,'SCH F'!$C$15:$G$58,5,FALSE),"")</f>
        <v/>
      </c>
      <c r="F81" s="26" t="e">
        <f t="shared" si="6"/>
        <v>#VALUE!</v>
      </c>
    </row>
    <row r="82" spans="1:6" x14ac:dyDescent="0.25">
      <c r="A82" s="255" t="s">
        <v>405</v>
      </c>
      <c r="B82" s="256" t="s">
        <v>265</v>
      </c>
      <c r="C82" s="256" t="s">
        <v>197</v>
      </c>
      <c r="D82" s="223" t="str">
        <f>IFERROR(VLOOKUP($A82,'SCH F'!$C$15:$E$58,3,FALSE),"")</f>
        <v/>
      </c>
      <c r="E82" s="238" t="str">
        <f>IFERROR(VLOOKUP($A82,'SCH F'!$C$15:$G$58,5,FALSE),"")</f>
        <v/>
      </c>
      <c r="F82" s="26" t="e">
        <f t="shared" si="6"/>
        <v>#VALUE!</v>
      </c>
    </row>
    <row r="83" spans="1:6" x14ac:dyDescent="0.25">
      <c r="A83" s="257" t="s">
        <v>406</v>
      </c>
      <c r="B83" s="258" t="s">
        <v>261</v>
      </c>
      <c r="C83" s="258" t="s">
        <v>29</v>
      </c>
      <c r="D83" s="223" t="str">
        <f>IFERROR(VLOOKUP($A83,'SCH F'!$C$15:$E$58,3,FALSE),"")</f>
        <v/>
      </c>
      <c r="E83" s="238" t="str">
        <f>IFERROR(VLOOKUP($A83,'SCH F'!$C$15:$G$58,5,FALSE),"")</f>
        <v/>
      </c>
      <c r="F83" s="223"/>
    </row>
    <row r="84" spans="1:6" x14ac:dyDescent="0.25">
      <c r="A84" s="255" t="s">
        <v>407</v>
      </c>
      <c r="B84" s="256" t="s">
        <v>262</v>
      </c>
      <c r="C84" s="256" t="s">
        <v>29</v>
      </c>
      <c r="D84" s="223" t="str">
        <f>IFERROR(VLOOKUP($A84,'SCH F'!$C$15:$E$58,3,FALSE),"")</f>
        <v/>
      </c>
      <c r="E84" s="238" t="str">
        <f>IFERROR(VLOOKUP($A84,'SCH F'!$C$15:$G$58,5,FALSE),"")</f>
        <v/>
      </c>
      <c r="F84" s="223"/>
    </row>
    <row r="85" spans="1:6" x14ac:dyDescent="0.25">
      <c r="A85" s="257" t="s">
        <v>408</v>
      </c>
      <c r="B85" s="258" t="s">
        <v>263</v>
      </c>
      <c r="C85" s="258" t="s">
        <v>29</v>
      </c>
      <c r="D85" s="223" t="str">
        <f>IFERROR(VLOOKUP($A85,'SCH F'!$C$15:$E$58,3,FALSE),"")</f>
        <v/>
      </c>
      <c r="E85" s="238" t="str">
        <f>IFERROR(VLOOKUP($A85,'SCH F'!$C$15:$G$58,5,FALSE),"")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F'!$C$15:$E$58,3,FALSE),"")</f>
        <v/>
      </c>
      <c r="E86" s="238" t="str">
        <f>IFERROR(VLOOKUP($A86,'SCH F'!$C$15:$G$58,5,FALSE),"")</f>
        <v/>
      </c>
      <c r="F86" s="223"/>
    </row>
    <row r="87" spans="1:6" x14ac:dyDescent="0.25">
      <c r="A87" s="257" t="s">
        <v>410</v>
      </c>
      <c r="B87" s="258" t="s">
        <v>265</v>
      </c>
      <c r="C87" s="258" t="s">
        <v>29</v>
      </c>
      <c r="D87" s="223" t="str">
        <f>IFERROR(VLOOKUP($A87,'SCH F'!$C$15:$E$58,3,FALSE),"")</f>
        <v/>
      </c>
      <c r="E87" s="238" t="str">
        <f>IFERROR(VLOOKUP($A87,'SCH F'!$C$15:$G$58,5,FALSE),"")</f>
        <v/>
      </c>
      <c r="F87" s="223"/>
    </row>
    <row r="88" spans="1:6" x14ac:dyDescent="0.25">
      <c r="A88" s="255" t="s">
        <v>411</v>
      </c>
      <c r="B88" s="256" t="s">
        <v>261</v>
      </c>
      <c r="C88" s="256" t="s">
        <v>227</v>
      </c>
      <c r="D88" s="223" t="str">
        <f>IFERROR(VLOOKUP($A88,'SCH F'!$C$15:$E$58,3,FALSE),"")</f>
        <v/>
      </c>
      <c r="E88" s="238" t="str">
        <f>IFERROR(VLOOKUP($A88,'SCH F'!$C$15:$G$58,5,FALSE),"")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F'!$C$15:$E$58,3,FALSE),"")</f>
        <v/>
      </c>
      <c r="E89" s="238" t="str">
        <f>IFERROR(VLOOKUP($A89,'SCH F'!$C$15:$G$58,5,FALSE),"")</f>
        <v/>
      </c>
      <c r="F89" s="26" t="e">
        <f t="shared" si="7"/>
        <v>#VALUE!</v>
      </c>
    </row>
    <row r="90" spans="1:6" x14ac:dyDescent="0.25">
      <c r="A90" s="255" t="s">
        <v>413</v>
      </c>
      <c r="B90" s="256" t="s">
        <v>263</v>
      </c>
      <c r="C90" s="256" t="s">
        <v>227</v>
      </c>
      <c r="D90" s="223" t="str">
        <f>IFERROR(VLOOKUP($A90,'SCH F'!$C$15:$E$58,3,FALSE),"")</f>
        <v/>
      </c>
      <c r="E90" s="238" t="str">
        <f>IFERROR(VLOOKUP($A90,'SCH F'!$C$15:$G$58,5,FALSE),"")</f>
        <v/>
      </c>
      <c r="F90" s="26" t="e">
        <f t="shared" si="7"/>
        <v>#VALUE!</v>
      </c>
    </row>
    <row r="91" spans="1:6" x14ac:dyDescent="0.25">
      <c r="A91" s="257" t="s">
        <v>414</v>
      </c>
      <c r="B91" s="258" t="s">
        <v>264</v>
      </c>
      <c r="C91" s="258" t="s">
        <v>227</v>
      </c>
      <c r="D91" s="223" t="str">
        <f>IFERROR(VLOOKUP($A91,'SCH F'!$C$15:$E$58,3,FALSE),"")</f>
        <v/>
      </c>
      <c r="E91" s="238" t="str">
        <f>IFERROR(VLOOKUP($A91,'SCH F'!$C$15:$G$58,5,FALSE),"")</f>
        <v/>
      </c>
      <c r="F91" s="26" t="e">
        <f t="shared" si="7"/>
        <v>#VALUE!</v>
      </c>
    </row>
    <row r="92" spans="1:6" x14ac:dyDescent="0.25">
      <c r="A92" s="255" t="s">
        <v>415</v>
      </c>
      <c r="B92" s="256" t="s">
        <v>265</v>
      </c>
      <c r="C92" s="256" t="s">
        <v>227</v>
      </c>
      <c r="D92" s="223" t="str">
        <f>IFERROR(VLOOKUP($A92,'SCH F'!$C$15:$E$58,3,FALSE),"")</f>
        <v/>
      </c>
      <c r="E92" s="238" t="str">
        <f>IFERROR(VLOOKUP($A92,'SCH F'!$C$15:$G$58,5,FALSE),"")</f>
        <v/>
      </c>
      <c r="F92" s="26" t="e">
        <f t="shared" si="7"/>
        <v>#VALUE!</v>
      </c>
    </row>
    <row r="93" spans="1:6" x14ac:dyDescent="0.25">
      <c r="A93" s="266" t="s">
        <v>435</v>
      </c>
      <c r="B93" s="267" t="s">
        <v>261</v>
      </c>
      <c r="C93" s="267" t="s">
        <v>197</v>
      </c>
      <c r="D93" s="223" t="str">
        <f>IFERROR(VLOOKUP($A93,'SCH F'!$C$15:$E$58,3,FALSE),"")</f>
        <v/>
      </c>
      <c r="E93" s="238" t="str">
        <f>IFERROR(VLOOKUP($A93,'SCH F'!$C$15:$G$58,5,FALSE),"")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F'!$C$15:$E$58,3,FALSE),"")</f>
        <v/>
      </c>
      <c r="E94" s="238" t="str">
        <f>IFERROR(VLOOKUP($A94,'SCH F'!$C$15:$G$58,5,FALSE),"")</f>
        <v/>
      </c>
      <c r="F94" s="26" t="e">
        <f t="shared" si="8"/>
        <v>#VALUE!</v>
      </c>
    </row>
    <row r="95" spans="1:6" x14ac:dyDescent="0.25">
      <c r="A95" s="266" t="s">
        <v>437</v>
      </c>
      <c r="B95" s="267" t="s">
        <v>263</v>
      </c>
      <c r="C95" s="267" t="s">
        <v>197</v>
      </c>
      <c r="D95" s="223" t="str">
        <f>IFERROR(VLOOKUP($A95,'SCH F'!$C$15:$E$58,3,FALSE),"")</f>
        <v/>
      </c>
      <c r="E95" s="238" t="str">
        <f>IFERROR(VLOOKUP($A95,'SCH F'!$C$15:$G$58,5,FALSE),"")</f>
        <v/>
      </c>
      <c r="F95" s="26" t="e">
        <f t="shared" si="8"/>
        <v>#VALUE!</v>
      </c>
    </row>
    <row r="96" spans="1:6" x14ac:dyDescent="0.25">
      <c r="A96" s="268" t="s">
        <v>438</v>
      </c>
      <c r="B96" s="269" t="s">
        <v>264</v>
      </c>
      <c r="C96" s="269" t="s">
        <v>197</v>
      </c>
      <c r="D96" s="223" t="str">
        <f>IFERROR(VLOOKUP($A96,'SCH F'!$C$15:$E$58,3,FALSE),"")</f>
        <v/>
      </c>
      <c r="E96" s="238" t="str">
        <f>IFERROR(VLOOKUP($A96,'SCH F'!$C$15:$G$58,5,FALSE),"")</f>
        <v/>
      </c>
      <c r="F96" s="26" t="e">
        <f t="shared" si="8"/>
        <v>#VALUE!</v>
      </c>
    </row>
    <row r="97" spans="1:6" x14ac:dyDescent="0.25">
      <c r="A97" s="266" t="s">
        <v>439</v>
      </c>
      <c r="B97" s="267" t="s">
        <v>265</v>
      </c>
      <c r="C97" s="267" t="s">
        <v>197</v>
      </c>
      <c r="D97" s="223" t="str">
        <f>IFERROR(VLOOKUP($A97,'SCH F'!$C$15:$E$58,3,FALSE),"")</f>
        <v/>
      </c>
      <c r="E97" s="238" t="str">
        <f>IFERROR(VLOOKUP($A97,'SCH F'!$C$15:$G$58,5,FALSE),"")</f>
        <v/>
      </c>
      <c r="F97" s="26" t="e">
        <f t="shared" si="8"/>
        <v>#VALUE!</v>
      </c>
    </row>
    <row r="98" spans="1:6" x14ac:dyDescent="0.25">
      <c r="A98" s="268" t="s">
        <v>440</v>
      </c>
      <c r="B98" s="269" t="s">
        <v>261</v>
      </c>
      <c r="C98" s="269" t="s">
        <v>29</v>
      </c>
      <c r="D98" s="223" t="str">
        <f>IFERROR(VLOOKUP($A98,'SCH F'!$C$15:$E$58,3,FALSE),"")</f>
        <v/>
      </c>
      <c r="E98" s="238" t="str">
        <f>IFERROR(VLOOKUP($A98,'SCH F'!$C$15:$G$58,5,FALSE),"")</f>
        <v/>
      </c>
      <c r="F98" s="223"/>
    </row>
    <row r="99" spans="1:6" x14ac:dyDescent="0.25">
      <c r="A99" s="266" t="s">
        <v>441</v>
      </c>
      <c r="B99" s="267" t="s">
        <v>262</v>
      </c>
      <c r="C99" s="267" t="s">
        <v>29</v>
      </c>
      <c r="D99" s="223" t="str">
        <f>IFERROR(VLOOKUP($A99,'SCH F'!$C$15:$E$58,3,FALSE),"")</f>
        <v/>
      </c>
      <c r="E99" s="238" t="str">
        <f>IFERROR(VLOOKUP($A99,'SCH F'!$C$15:$G$58,5,FALSE),"")</f>
        <v/>
      </c>
      <c r="F99" s="223"/>
    </row>
    <row r="100" spans="1:6" x14ac:dyDescent="0.25">
      <c r="A100" s="268" t="s">
        <v>442</v>
      </c>
      <c r="B100" s="269" t="s">
        <v>263</v>
      </c>
      <c r="C100" s="269" t="s">
        <v>29</v>
      </c>
      <c r="D100" s="223" t="str">
        <f>IFERROR(VLOOKUP($A100,'SCH F'!$C$15:$E$58,3,FALSE),"")</f>
        <v/>
      </c>
      <c r="E100" s="238" t="str">
        <f>IFERROR(VLOOKUP($A100,'SCH F'!$C$15:$G$58,5,FALSE),"")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F'!$C$15:$E$58,3,FALSE),"")</f>
        <v/>
      </c>
      <c r="E101" s="238" t="str">
        <f>IFERROR(VLOOKUP($A101,'SCH F'!$C$15:$G$58,5,FALSE),"")</f>
        <v/>
      </c>
      <c r="F101" s="223"/>
    </row>
    <row r="102" spans="1:6" x14ac:dyDescent="0.25">
      <c r="A102" s="268" t="s">
        <v>444</v>
      </c>
      <c r="B102" s="269" t="s">
        <v>265</v>
      </c>
      <c r="C102" s="269" t="s">
        <v>29</v>
      </c>
      <c r="D102" s="223" t="str">
        <f>IFERROR(VLOOKUP($A102,'SCH F'!$C$15:$E$58,3,FALSE),"")</f>
        <v/>
      </c>
      <c r="E102" s="238" t="str">
        <f>IFERROR(VLOOKUP($A102,'SCH F'!$C$15:$G$58,5,FALSE),"")</f>
        <v/>
      </c>
      <c r="F102" s="223"/>
    </row>
    <row r="103" spans="1:6" x14ac:dyDescent="0.25">
      <c r="A103" s="266" t="s">
        <v>445</v>
      </c>
      <c r="B103" s="267" t="s">
        <v>261</v>
      </c>
      <c r="C103" s="267" t="s">
        <v>227</v>
      </c>
      <c r="D103" s="223" t="str">
        <f>IFERROR(VLOOKUP($A103,'SCH F'!$C$15:$E$58,3,FALSE),"")</f>
        <v/>
      </c>
      <c r="E103" s="238" t="str">
        <f>IFERROR(VLOOKUP($A103,'SCH F'!$C$15:$G$58,5,FALSE),"")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F'!$C$15:$E$58,3,FALSE),"")</f>
        <v/>
      </c>
      <c r="E104" s="238" t="str">
        <f>IFERROR(VLOOKUP($A104,'SCH F'!$C$15:$G$58,5,FALSE),"")</f>
        <v/>
      </c>
      <c r="F104" s="26" t="e">
        <f t="shared" si="9"/>
        <v>#VALUE!</v>
      </c>
    </row>
    <row r="105" spans="1:6" x14ac:dyDescent="0.25">
      <c r="A105" s="266" t="s">
        <v>447</v>
      </c>
      <c r="B105" s="267" t="s">
        <v>263</v>
      </c>
      <c r="C105" s="267" t="s">
        <v>227</v>
      </c>
      <c r="D105" s="223" t="str">
        <f>IFERROR(VLOOKUP($A105,'SCH F'!$C$15:$E$58,3,FALSE),"")</f>
        <v/>
      </c>
      <c r="E105" s="238" t="str">
        <f>IFERROR(VLOOKUP($A105,'SCH F'!$C$15:$G$58,5,FALSE),"")</f>
        <v/>
      </c>
      <c r="F105" s="26" t="e">
        <f t="shared" si="9"/>
        <v>#VALUE!</v>
      </c>
    </row>
    <row r="106" spans="1:6" x14ac:dyDescent="0.25">
      <c r="A106" s="268" t="s">
        <v>448</v>
      </c>
      <c r="B106" s="269" t="s">
        <v>264</v>
      </c>
      <c r="C106" s="269" t="s">
        <v>227</v>
      </c>
      <c r="D106" s="223" t="str">
        <f>IFERROR(VLOOKUP($A106,'SCH F'!$C$15:$E$58,3,FALSE),"")</f>
        <v/>
      </c>
      <c r="E106" s="238" t="str">
        <f>IFERROR(VLOOKUP($A106,'SCH F'!$C$15:$G$58,5,FALSE),"")</f>
        <v/>
      </c>
      <c r="F106" s="26" t="e">
        <f t="shared" si="9"/>
        <v>#VALUE!</v>
      </c>
    </row>
    <row r="107" spans="1:6" x14ac:dyDescent="0.25">
      <c r="A107" s="266" t="s">
        <v>449</v>
      </c>
      <c r="B107" s="267" t="s">
        <v>265</v>
      </c>
      <c r="C107" s="267" t="s">
        <v>227</v>
      </c>
      <c r="D107" s="223" t="str">
        <f>IFERROR(VLOOKUP($A107,'SCH F'!$C$15:$E$58,3,FALSE),"")</f>
        <v/>
      </c>
      <c r="E107" s="238" t="str">
        <f>IFERROR(VLOOKUP($A107,'SCH F'!$C$15:$G$58,5,FALSE),"")</f>
        <v/>
      </c>
      <c r="F107" s="26" t="e">
        <f t="shared" si="9"/>
        <v>#VALUE!</v>
      </c>
    </row>
    <row r="108" spans="1:6" x14ac:dyDescent="0.25">
      <c r="A108" s="204" t="s">
        <v>266</v>
      </c>
      <c r="B108" s="204" t="s">
        <v>416</v>
      </c>
      <c r="C108" s="204" t="s">
        <v>276</v>
      </c>
      <c r="D108" s="223" t="str">
        <f>IFERROR(VLOOKUP($A108,'SCH F'!$C$15:$E$58,3,FALSE),"")</f>
        <v/>
      </c>
      <c r="E108" s="238" t="str">
        <f>IFERROR(VLOOKUP($A108,'SCH F'!$C$15:$G$58,5,FALSE),"")</f>
        <v/>
      </c>
      <c r="F108" s="223"/>
    </row>
    <row r="109" spans="1:6" x14ac:dyDescent="0.25">
      <c r="A109" s="205" t="s">
        <v>267</v>
      </c>
      <c r="B109" s="205" t="s">
        <v>277</v>
      </c>
      <c r="C109" s="205" t="s">
        <v>276</v>
      </c>
      <c r="D109" s="223" t="str">
        <f>IFERROR(VLOOKUP($A109,'SCH F'!$C$15:$E$58,3,FALSE),"")</f>
        <v/>
      </c>
      <c r="E109" s="238" t="str">
        <f>IFERROR(VLOOKUP($A109,'SCH F'!$C$15:$G$58,5,FALSE),"")</f>
        <v/>
      </c>
      <c r="F109" s="223"/>
    </row>
    <row r="110" spans="1:6" x14ac:dyDescent="0.25">
      <c r="A110" s="204" t="s">
        <v>268</v>
      </c>
      <c r="B110" s="204" t="s">
        <v>417</v>
      </c>
      <c r="C110" s="204" t="s">
        <v>276</v>
      </c>
      <c r="D110" s="223" t="str">
        <f>IFERROR(VLOOKUP($A110,'SCH F'!$C$15:$E$58,3,FALSE),"")</f>
        <v/>
      </c>
      <c r="E110" s="238" t="str">
        <f>IFERROR(VLOOKUP($A110,'SCH F'!$C$15:$G$58,5,FALSE),"")</f>
        <v/>
      </c>
      <c r="F110" s="223"/>
    </row>
    <row r="111" spans="1:6" x14ac:dyDescent="0.25">
      <c r="A111" s="205" t="s">
        <v>269</v>
      </c>
      <c r="B111" s="205" t="s">
        <v>278</v>
      </c>
      <c r="C111" s="205" t="s">
        <v>276</v>
      </c>
      <c r="D111" s="223" t="str">
        <f>IFERROR(VLOOKUP($A111,'SCH F'!$C$15:$E$58,3,FALSE),"")</f>
        <v/>
      </c>
      <c r="E111" s="238" t="str">
        <f>IFERROR(VLOOKUP($A111,'SCH F'!$C$15:$G$58,5,FALSE),"")</f>
        <v/>
      </c>
      <c r="F111" s="223"/>
    </row>
    <row r="112" spans="1:6" x14ac:dyDescent="0.25">
      <c r="A112" s="204" t="s">
        <v>270</v>
      </c>
      <c r="B112" s="204" t="s">
        <v>416</v>
      </c>
      <c r="C112" s="204" t="s">
        <v>29</v>
      </c>
      <c r="D112" s="223" t="str">
        <f>IFERROR(VLOOKUP($A112,'SCH F'!$C$15:$E$58,3,FALSE),"")</f>
        <v/>
      </c>
      <c r="E112" s="238" t="str">
        <f>IFERROR(VLOOKUP($A112,'SCH F'!$C$15:$G$58,5,FALSE),"")</f>
        <v/>
      </c>
      <c r="F112" s="223"/>
    </row>
    <row r="113" spans="1:6" x14ac:dyDescent="0.25">
      <c r="A113" s="205" t="s">
        <v>271</v>
      </c>
      <c r="B113" s="212" t="s">
        <v>277</v>
      </c>
      <c r="C113" s="205" t="s">
        <v>29</v>
      </c>
      <c r="D113" s="223" t="str">
        <f>IFERROR(VLOOKUP($A113,'SCH F'!$C$15:$E$58,3,FALSE),"")</f>
        <v/>
      </c>
      <c r="E113" s="238" t="str">
        <f>IFERROR(VLOOKUP($A113,'SCH F'!$C$15:$G$58,5,FALSE),"")</f>
        <v/>
      </c>
      <c r="F113" s="223"/>
    </row>
    <row r="114" spans="1:6" x14ac:dyDescent="0.25">
      <c r="A114" s="204" t="s">
        <v>272</v>
      </c>
      <c r="B114" s="213" t="s">
        <v>417</v>
      </c>
      <c r="C114" s="204" t="s">
        <v>29</v>
      </c>
      <c r="D114" s="223" t="str">
        <f>IFERROR(VLOOKUP($A114,'SCH F'!$C$15:$E$58,3,FALSE),"")</f>
        <v/>
      </c>
      <c r="E114" s="238" t="str">
        <f>IFERROR(VLOOKUP($A114,'SCH F'!$C$15:$G$58,5,FALSE),"")</f>
        <v/>
      </c>
      <c r="F114" s="26" t="e">
        <f>IF(AND(D114&gt;=4761.9,D114&lt;9523.81),ROUND(E114*0.01,2),IF(AND(D114&gt;=9523.81,D114&lt;11111.11),ROUND(E114*0.03,2),IF(AND(D114&gt;=11111.11,D114&lt;12698.41),ROUND(E114*0.04,2),IF(AND(D114&gt;=12698.41),ROUND(E114*0.05,2),"-"))))</f>
        <v>#VALUE!</v>
      </c>
    </row>
    <row r="115" spans="1:6" ht="26.25" x14ac:dyDescent="0.25">
      <c r="A115" s="205" t="s">
        <v>273</v>
      </c>
      <c r="B115" s="212" t="s">
        <v>278</v>
      </c>
      <c r="C115" s="205" t="s">
        <v>29</v>
      </c>
      <c r="D115" s="223" t="str">
        <f>IFERROR(VLOOKUP($A115,'SCH F'!$C$15:$E$58,3,FALSE),"")</f>
        <v/>
      </c>
      <c r="E115" s="238" t="str">
        <f>IFERROR(VLOOKUP($A115,'SCH F'!$C$15:$G$58,5,FALSE),"")</f>
        <v/>
      </c>
      <c r="F115" s="223"/>
    </row>
    <row r="116" spans="1:6" x14ac:dyDescent="0.25">
      <c r="A116" s="204" t="s">
        <v>274</v>
      </c>
      <c r="B116" s="204" t="s">
        <v>416</v>
      </c>
      <c r="C116" s="204" t="s">
        <v>197</v>
      </c>
      <c r="D116" s="223" t="str">
        <f>IFERROR(VLOOKUP($A116,'SCH F'!$C$15:$E$58,3,FALSE),"")</f>
        <v/>
      </c>
      <c r="E116" s="238" t="str">
        <f>IFERROR(VLOOKUP($A116,'SCH F'!$C$15:$G$58,5,FALSE),"")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F'!$C$15:$E$58,3,FALSE),"")</f>
        <v/>
      </c>
      <c r="E117" s="238" t="str">
        <f>IFERROR(VLOOKUP($A117,'SCH F'!$C$15:$G$58,5,FALSE),"")</f>
        <v/>
      </c>
      <c r="F117" s="26" t="e">
        <f t="shared" si="10"/>
        <v>#VALUE!</v>
      </c>
    </row>
    <row r="118" spans="1:6" x14ac:dyDescent="0.25">
      <c r="A118" s="204" t="s">
        <v>279</v>
      </c>
      <c r="B118" s="204" t="s">
        <v>280</v>
      </c>
      <c r="C118" s="206" t="s">
        <v>197</v>
      </c>
      <c r="D118" s="223" t="str">
        <f>IFERROR(VLOOKUP($A118,'SCH F'!$C$15:$E$58,3,FALSE),"")</f>
        <v/>
      </c>
      <c r="E118" s="238" t="str">
        <f>IFERROR(VLOOKUP($A118,'SCH F'!$C$15:$G$58,5,FALSE),"")</f>
        <v/>
      </c>
      <c r="F118" s="223"/>
    </row>
    <row r="119" spans="1:6" x14ac:dyDescent="0.25">
      <c r="A119" s="205" t="s">
        <v>281</v>
      </c>
      <c r="B119" s="205" t="s">
        <v>249</v>
      </c>
      <c r="C119" s="205" t="s">
        <v>197</v>
      </c>
      <c r="D119" s="223" t="str">
        <f>IFERROR(VLOOKUP($A119,'SCH F'!$C$15:$E$58,3,FALSE),"")</f>
        <v/>
      </c>
      <c r="E119" s="238" t="str">
        <f>IFERROR(VLOOKUP($A119,'SCH F'!$C$15:$G$58,5,FALSE),"")</f>
        <v/>
      </c>
      <c r="F119" s="26" t="e">
        <f>IF((D119&gt;=1575),ROUND(E119*0.01,2),"-")</f>
        <v>#VALUE!</v>
      </c>
    </row>
    <row r="120" spans="1:6" x14ac:dyDescent="0.25">
      <c r="A120" s="204" t="s">
        <v>282</v>
      </c>
      <c r="B120" s="204" t="s">
        <v>250</v>
      </c>
      <c r="C120" s="204" t="s">
        <v>197</v>
      </c>
      <c r="D120" s="223" t="str">
        <f>IFERROR(VLOOKUP($A120,'SCH F'!$C$15:$E$58,3,FALSE),"")</f>
        <v/>
      </c>
      <c r="E120" s="238" t="str">
        <f>IFERROR(VLOOKUP($A120,'SCH F'!$C$15:$G$58,5,FALSE),"")</f>
        <v/>
      </c>
      <c r="F120" s="26" t="e">
        <f>IF((D120&gt;=1050),ROUND(E120*0.01,2),"-")</f>
        <v>#VALUE!</v>
      </c>
    </row>
    <row r="121" spans="1:6" x14ac:dyDescent="0.25">
      <c r="A121" s="205" t="s">
        <v>283</v>
      </c>
      <c r="B121" s="205" t="s">
        <v>251</v>
      </c>
      <c r="C121" s="205" t="s">
        <v>197</v>
      </c>
      <c r="D121" s="223" t="str">
        <f>IFERROR(VLOOKUP($A121,'SCH F'!$C$15:$E$58,3,FALSE),"")</f>
        <v/>
      </c>
      <c r="E121" s="238" t="str">
        <f>IFERROR(VLOOKUP($A121,'SCH F'!$C$15:$G$58,5,FALSE),"")</f>
        <v/>
      </c>
      <c r="F121" s="26" t="e">
        <f>IF((D121&gt;=787.5),ROUND(E121*0.01,2),"-")</f>
        <v>#VALUE!</v>
      </c>
    </row>
    <row r="122" spans="1:6" x14ac:dyDescent="0.25">
      <c r="A122" s="204" t="s">
        <v>284</v>
      </c>
      <c r="B122" s="204" t="s">
        <v>252</v>
      </c>
      <c r="C122" s="204" t="s">
        <v>197</v>
      </c>
      <c r="D122" s="223" t="str">
        <f>IFERROR(VLOOKUP($A122,'SCH F'!$C$15:$E$58,3,FALSE),"")</f>
        <v/>
      </c>
      <c r="E122" s="238" t="str">
        <f>IFERROR(VLOOKUP($A122,'SCH F'!$C$15:$G$58,5,FALSE),"")</f>
        <v/>
      </c>
      <c r="F122" s="26" t="e">
        <f>IF((D122&gt;=393.75),ROUND(E122*0.01,2),"-")</f>
        <v>#VALUE!</v>
      </c>
    </row>
    <row r="123" spans="1:6" x14ac:dyDescent="0.25">
      <c r="A123" s="205" t="s">
        <v>285</v>
      </c>
      <c r="B123" s="205" t="s">
        <v>291</v>
      </c>
      <c r="C123" s="205" t="s">
        <v>197</v>
      </c>
      <c r="D123" s="223" t="str">
        <f>IFERROR(VLOOKUP($A123,'SCH F'!$C$15:$E$58,3,FALSE),"")</f>
        <v/>
      </c>
      <c r="E123" s="238" t="str">
        <f>IFERROR(VLOOKUP($A123,'SCH F'!$C$15:$G$58,5,FALSE),"")</f>
        <v/>
      </c>
      <c r="F123" s="26" t="e">
        <f>IF((D123&gt;=(1575*2)),ROUND(E123*0.01,2),"-")</f>
        <v>#VALUE!</v>
      </c>
    </row>
    <row r="124" spans="1:6" x14ac:dyDescent="0.25">
      <c r="A124" s="204" t="s">
        <v>286</v>
      </c>
      <c r="B124" s="204" t="s">
        <v>292</v>
      </c>
      <c r="C124" s="204" t="s">
        <v>197</v>
      </c>
      <c r="D124" s="223" t="str">
        <f>IFERROR(VLOOKUP($A124,'SCH F'!$C$15:$E$58,3,FALSE),"")</f>
        <v/>
      </c>
      <c r="E124" s="238" t="str">
        <f>IFERROR(VLOOKUP($A124,'SCH F'!$C$15:$G$58,5,FALSE),"")</f>
        <v/>
      </c>
      <c r="F124" s="26" t="e">
        <f>IF((D124&gt;=(787.5*2)),ROUND(E124*0.01,2),"-")</f>
        <v>#VALUE!</v>
      </c>
    </row>
    <row r="125" spans="1:6" x14ac:dyDescent="0.25">
      <c r="A125" s="205" t="s">
        <v>287</v>
      </c>
      <c r="B125" s="205" t="s">
        <v>293</v>
      </c>
      <c r="C125" s="205" t="s">
        <v>197</v>
      </c>
      <c r="D125" s="223" t="str">
        <f>IFERROR(VLOOKUP($A125,'SCH F'!$C$15:$E$58,3,FALSE),"")</f>
        <v/>
      </c>
      <c r="E125" s="238" t="str">
        <f>IFERROR(VLOOKUP($A125,'SCH F'!$C$15:$G$58,5,FALSE),"")</f>
        <v/>
      </c>
      <c r="F125" s="26" t="e">
        <f>IF((D125&gt;=(1050*2)),ROUND(E125*0.01,2),"-")</f>
        <v>#VALUE!</v>
      </c>
    </row>
    <row r="126" spans="1:6" x14ac:dyDescent="0.25">
      <c r="A126" s="204" t="s">
        <v>288</v>
      </c>
      <c r="B126" s="204" t="s">
        <v>294</v>
      </c>
      <c r="C126" s="204" t="s">
        <v>197</v>
      </c>
      <c r="D126" s="223" t="str">
        <f>IFERROR(VLOOKUP($A126,'SCH F'!$C$15:$E$58,3,FALSE),"")</f>
        <v/>
      </c>
      <c r="E126" s="238" t="str">
        <f>IFERROR(VLOOKUP($A126,'SCH F'!$C$15:$G$58,5,FALSE),"")</f>
        <v/>
      </c>
      <c r="F126" s="26" t="e">
        <f>IF((D126&gt;=(787.5*2)),ROUND(E126*0.01,2),"-")</f>
        <v>#VALUE!</v>
      </c>
    </row>
    <row r="127" spans="1:6" x14ac:dyDescent="0.25">
      <c r="A127" s="205" t="s">
        <v>289</v>
      </c>
      <c r="B127" s="205" t="s">
        <v>295</v>
      </c>
      <c r="C127" s="205" t="s">
        <v>197</v>
      </c>
      <c r="D127" s="223" t="str">
        <f>IFERROR(VLOOKUP($A127,'SCH F'!$C$15:$E$58,3,FALSE),"")</f>
        <v/>
      </c>
      <c r="E127" s="238" t="str">
        <f>IFERROR(VLOOKUP($A127,'SCH F'!$C$15:$G$58,5,FALSE),"")</f>
        <v/>
      </c>
      <c r="F127" s="26" t="e">
        <f>IF((D127&gt;=(787.5*2)),ROUND(E127*0.01,2),"-")</f>
        <v>#VALUE!</v>
      </c>
    </row>
    <row r="128" spans="1:6" x14ac:dyDescent="0.25">
      <c r="A128" s="204" t="s">
        <v>290</v>
      </c>
      <c r="B128" s="204" t="s">
        <v>296</v>
      </c>
      <c r="C128" s="204" t="s">
        <v>197</v>
      </c>
      <c r="D128" s="223" t="str">
        <f>IFERROR(VLOOKUP($A128,'SCH F'!$C$15:$E$58,3,FALSE),"")</f>
        <v/>
      </c>
      <c r="E128" s="238" t="str">
        <f>IFERROR(VLOOKUP($A128,'SCH F'!$C$15:$G$58,5,FALSE),"")</f>
        <v/>
      </c>
      <c r="F128" s="26" t="e">
        <f>IF((D128&gt;=(393.75*2)),ROUND(E128*0.01,2),"-")</f>
        <v>#VALUE!</v>
      </c>
    </row>
    <row r="129" spans="1:16" x14ac:dyDescent="0.25">
      <c r="A129" s="205" t="s">
        <v>242</v>
      </c>
      <c r="B129" s="205" t="s">
        <v>249</v>
      </c>
      <c r="C129" s="205" t="s">
        <v>29</v>
      </c>
      <c r="D129" s="223" t="str">
        <f>IFERROR(VLOOKUP($A129,'SCH F'!$C$15:$E$58,3,FALSE),"")</f>
        <v/>
      </c>
      <c r="E129" s="238" t="str">
        <f>IFERROR(VLOOKUP($A129,'SCH F'!$C$15:$G$58,5,FALSE),"")</f>
        <v/>
      </c>
      <c r="F129" s="26" t="e">
        <f>IF((D129&gt;=40000),ROUND(E129*0.05,2),"-")</f>
        <v>#VALUE!</v>
      </c>
    </row>
    <row r="130" spans="1:16" x14ac:dyDescent="0.25">
      <c r="A130" s="204" t="s">
        <v>243</v>
      </c>
      <c r="B130" s="204" t="s">
        <v>250</v>
      </c>
      <c r="C130" s="204" t="s">
        <v>29</v>
      </c>
      <c r="D130" s="223" t="str">
        <f>IFERROR(VLOOKUP($A130,'SCH F'!$C$15:$E$58,3,FALSE),"")</f>
        <v/>
      </c>
      <c r="E130" s="238" t="str">
        <f>IFERROR(VLOOKUP($A130,'SCH F'!$C$15:$G$58,5,FALSE),"")</f>
        <v/>
      </c>
      <c r="F130" s="26" t="e">
        <f t="shared" ref="F130:F135" si="11">IF((D130&gt;=40000),ROUND(E130*0.05,2),"-")</f>
        <v>#VALUE!</v>
      </c>
    </row>
    <row r="131" spans="1:16" x14ac:dyDescent="0.25">
      <c r="A131" s="205" t="s">
        <v>244</v>
      </c>
      <c r="B131" s="205" t="s">
        <v>251</v>
      </c>
      <c r="C131" s="205" t="s">
        <v>29</v>
      </c>
      <c r="D131" s="223" t="str">
        <f>IFERROR(VLOOKUP($A131,'SCH F'!$C$15:$E$58,3,FALSE),"")</f>
        <v/>
      </c>
      <c r="E131" s="238" t="str">
        <f>IFERROR(VLOOKUP($A131,'SCH F'!$C$15:$G$58,5,FALSE),"")</f>
        <v/>
      </c>
      <c r="F131" s="26" t="e">
        <f t="shared" si="11"/>
        <v>#VALUE!</v>
      </c>
    </row>
    <row r="132" spans="1:16" x14ac:dyDescent="0.25">
      <c r="A132" s="204" t="s">
        <v>245</v>
      </c>
      <c r="B132" s="204" t="s">
        <v>252</v>
      </c>
      <c r="C132" s="204" t="s">
        <v>29</v>
      </c>
      <c r="D132" s="223" t="str">
        <f>IFERROR(VLOOKUP($A132,'SCH F'!$C$15:$E$58,3,FALSE),"")</f>
        <v/>
      </c>
      <c r="E132" s="238" t="str">
        <f>IFERROR(VLOOKUP($A132,'SCH F'!$C$15:$G$58,5,FALSE),"")</f>
        <v/>
      </c>
      <c r="F132" s="26" t="e">
        <f t="shared" si="11"/>
        <v>#VALUE!</v>
      </c>
    </row>
    <row r="133" spans="1:16" x14ac:dyDescent="0.25">
      <c r="A133" s="205" t="s">
        <v>246</v>
      </c>
      <c r="B133" s="205" t="s">
        <v>253</v>
      </c>
      <c r="C133" s="205" t="s">
        <v>29</v>
      </c>
      <c r="D133" s="223" t="str">
        <f>IFERROR(VLOOKUP($A133,'SCH F'!$C$15:$E$58,3,FALSE),"")</f>
        <v/>
      </c>
      <c r="E133" s="238" t="str">
        <f>IFERROR(VLOOKUP($A133,'SCH F'!$C$15:$G$58,5,FALSE),"")</f>
        <v/>
      </c>
      <c r="F133" s="26" t="e">
        <f t="shared" si="11"/>
        <v>#VALUE!</v>
      </c>
    </row>
    <row r="134" spans="1:16" x14ac:dyDescent="0.25">
      <c r="A134" s="204" t="s">
        <v>247</v>
      </c>
      <c r="B134" s="204" t="s">
        <v>254</v>
      </c>
      <c r="C134" s="204" t="s">
        <v>29</v>
      </c>
      <c r="D134" s="223" t="str">
        <f>IFERROR(VLOOKUP($A134,'SCH F'!$C$15:$E$58,3,FALSE),"")</f>
        <v/>
      </c>
      <c r="E134" s="238" t="str">
        <f>IFERROR(VLOOKUP($A134,'SCH F'!$C$15:$G$58,5,FALSE),"")</f>
        <v/>
      </c>
      <c r="F134" s="26" t="e">
        <f t="shared" si="11"/>
        <v>#VALUE!</v>
      </c>
    </row>
    <row r="135" spans="1:16" x14ac:dyDescent="0.25">
      <c r="A135" s="205" t="s">
        <v>248</v>
      </c>
      <c r="B135" s="205" t="s">
        <v>255</v>
      </c>
      <c r="C135" s="205" t="s">
        <v>29</v>
      </c>
      <c r="D135" s="223" t="str">
        <f>IFERROR(VLOOKUP($A135,'SCH F'!$C$15:$E$58,3,FALSE),"")</f>
        <v/>
      </c>
      <c r="E135" s="238" t="str">
        <f>IFERROR(VLOOKUP($A135,'SCH F'!$C$15:$G$58,5,FALSE),"")</f>
        <v/>
      </c>
      <c r="F135" s="26" t="e">
        <f t="shared" si="11"/>
        <v>#VALUE!</v>
      </c>
    </row>
    <row r="136" spans="1:16" x14ac:dyDescent="0.25">
      <c r="A136" s="251" t="s">
        <v>418</v>
      </c>
      <c r="B136" s="252" t="s">
        <v>424</v>
      </c>
      <c r="C136" s="252" t="s">
        <v>197</v>
      </c>
      <c r="D136" s="223" t="str">
        <f>IFERROR(VLOOKUP($A136,'SCH F'!$C$15:$E$58,3,FALSE),"")</f>
        <v/>
      </c>
      <c r="E136" s="238" t="str">
        <f>IFERROR(VLOOKUP($A136,'SCH F'!$C$15:$G$58,5,FALSE),"")</f>
        <v/>
      </c>
      <c r="F136" s="285" t="str">
        <f>IF(ISNUMBER(D136),ROUND(E136*0.01,2),"-")</f>
        <v>-</v>
      </c>
    </row>
    <row r="137" spans="1:16" x14ac:dyDescent="0.25">
      <c r="A137" s="253" t="s">
        <v>419</v>
      </c>
      <c r="B137" s="254" t="s">
        <v>425</v>
      </c>
      <c r="C137" s="254" t="s">
        <v>197</v>
      </c>
      <c r="D137" s="223" t="str">
        <f>IFERROR(VLOOKUP($A137,'SCH F'!$C$15:$E$58,3,FALSE),"")</f>
        <v/>
      </c>
      <c r="E137" s="238" t="str">
        <f>IFERROR(VLOOKUP($A137,'SCH F'!$C$15:$G$58,5,FALSE),"")</f>
        <v/>
      </c>
      <c r="F137" s="285" t="str">
        <f t="shared" ref="F137:F138" si="12">IF(ISNUMBER(D137),ROUND(E137*0.01,2),"-")</f>
        <v>-</v>
      </c>
    </row>
    <row r="138" spans="1:16" x14ac:dyDescent="0.25">
      <c r="A138" s="251" t="s">
        <v>420</v>
      </c>
      <c r="B138" s="252" t="s">
        <v>426</v>
      </c>
      <c r="C138" s="252" t="s">
        <v>197</v>
      </c>
      <c r="D138" s="223" t="str">
        <f>IFERROR(VLOOKUP($A138,'SCH F'!$C$15:$E$58,3,FALSE),"")</f>
        <v/>
      </c>
      <c r="E138" s="238" t="str">
        <f>IFERROR(VLOOKUP($A138,'SCH F'!$C$15:$G$58,5,FALSE),"")</f>
        <v/>
      </c>
      <c r="F138" s="285" t="str">
        <f t="shared" si="12"/>
        <v>-</v>
      </c>
    </row>
    <row r="139" spans="1:16" x14ac:dyDescent="0.25">
      <c r="A139" s="253" t="s">
        <v>421</v>
      </c>
      <c r="B139" s="254" t="s">
        <v>424</v>
      </c>
      <c r="C139" s="254" t="s">
        <v>29</v>
      </c>
      <c r="D139" s="223" t="str">
        <f>IFERROR(VLOOKUP($A139,'SCH F'!$C$15:$E$58,3,FALSE),"")</f>
        <v/>
      </c>
      <c r="E139" s="238" t="str">
        <f>IFERROR(VLOOKUP($A139,'SCH F'!$C$15:$G$58,5,FALSE),"")</f>
        <v/>
      </c>
      <c r="F139" s="286">
        <v>0.08</v>
      </c>
    </row>
    <row r="140" spans="1:16" x14ac:dyDescent="0.25">
      <c r="A140" s="251" t="s">
        <v>422</v>
      </c>
      <c r="B140" s="252" t="s">
        <v>425</v>
      </c>
      <c r="C140" s="252" t="s">
        <v>29</v>
      </c>
      <c r="D140" s="223" t="str">
        <f>IFERROR(VLOOKUP($A140,'SCH F'!$C$15:$E$58,3,FALSE),"")</f>
        <v/>
      </c>
      <c r="E140" s="238" t="str">
        <f>IFERROR(VLOOKUP($A140,'SCH F'!$C$15:$G$58,5,FALSE),"")</f>
        <v/>
      </c>
      <c r="F140" s="286">
        <v>0.05</v>
      </c>
    </row>
    <row r="141" spans="1:16" x14ac:dyDescent="0.25">
      <c r="A141" s="253" t="s">
        <v>423</v>
      </c>
      <c r="B141" s="254" t="s">
        <v>426</v>
      </c>
      <c r="C141" s="254" t="s">
        <v>29</v>
      </c>
      <c r="D141" s="223" t="str">
        <f>IFERROR(VLOOKUP($A141,'SCH F'!$C$15:$E$58,3,FALSE),"")</f>
        <v/>
      </c>
      <c r="E141" s="238" t="str">
        <f>IFERROR(VLOOKUP($A141,'SCH F'!$C$15:$G$58,5,FALSE),"")</f>
        <v/>
      </c>
      <c r="F141" s="286">
        <v>0.05</v>
      </c>
    </row>
    <row r="142" spans="1:16" x14ac:dyDescent="0.25">
      <c r="A142" s="251" t="s">
        <v>450</v>
      </c>
      <c r="B142" s="252" t="s">
        <v>424</v>
      </c>
      <c r="C142" s="252" t="s">
        <v>197</v>
      </c>
      <c r="D142" s="223" t="str">
        <f>IFERROR(VLOOKUP($A142,'SCH F'!$C$15:$E$58,3,FALSE),"")</f>
        <v/>
      </c>
      <c r="E142" s="238" t="str">
        <f>IFERROR(VLOOKUP($A142,'SCH F'!$C$15:$G$58,5,FALSE),"")</f>
        <v/>
      </c>
      <c r="F142" s="285" t="str">
        <f>IF(ISNUMBER(D142),ROUND(E142*0.01,2),"-")</f>
        <v>-</v>
      </c>
      <c r="P142" t="s">
        <v>454</v>
      </c>
    </row>
    <row r="143" spans="1:16" x14ac:dyDescent="0.25">
      <c r="A143" s="253" t="s">
        <v>451</v>
      </c>
      <c r="B143" s="254" t="s">
        <v>424</v>
      </c>
      <c r="C143" s="254" t="s">
        <v>29</v>
      </c>
      <c r="D143" s="223" t="str">
        <f>IFERROR(VLOOKUP($A143,'SCH F'!$C$15:$E$58,3,FALSE),"")</f>
        <v/>
      </c>
      <c r="E143" s="238" t="str">
        <f>IFERROR(VLOOKUP($A143,'SCH F'!$C$15:$G$58,5,FALSE),"")</f>
        <v/>
      </c>
      <c r="F143" s="286">
        <v>0.08</v>
      </c>
      <c r="P143" t="s">
        <v>455</v>
      </c>
    </row>
    <row r="144" spans="1:16" hidden="1" x14ac:dyDescent="0.25">
      <c r="A144" s="215" t="s">
        <v>297</v>
      </c>
      <c r="B144" s="216" t="s">
        <v>318</v>
      </c>
      <c r="C144" s="217" t="s">
        <v>197</v>
      </c>
      <c r="D144" s="223" t="str">
        <f>IFERROR(VLOOKUP($A144,'SCH F'!$C$15:$E$58,3,FALSE),"")</f>
        <v/>
      </c>
      <c r="E144" s="238" t="str">
        <f>IFERROR(VLOOKUP($A144,'SCH F'!$C$15:$G$58,5,FALSE),"")</f>
        <v/>
      </c>
    </row>
    <row r="145" spans="1:5" hidden="1" x14ac:dyDescent="0.25">
      <c r="A145" s="205" t="s">
        <v>298</v>
      </c>
      <c r="B145" s="205" t="s">
        <v>319</v>
      </c>
      <c r="C145" s="207" t="s">
        <v>197</v>
      </c>
      <c r="D145" s="223" t="str">
        <f>IFERROR(VLOOKUP($A145,'SCH F'!$C$15:$E$58,3,FALSE),"")</f>
        <v/>
      </c>
      <c r="E145" s="238" t="str">
        <f>IFERROR(VLOOKUP($A145,'SCH F'!$C$15:$G$58,5,FALSE),"")</f>
        <v/>
      </c>
    </row>
    <row r="146" spans="1:5" hidden="1" x14ac:dyDescent="0.25">
      <c r="A146" s="204" t="s">
        <v>299</v>
      </c>
      <c r="B146" s="204" t="s">
        <v>320</v>
      </c>
      <c r="C146" s="206" t="s">
        <v>197</v>
      </c>
      <c r="D146" s="223" t="str">
        <f>IFERROR(VLOOKUP($A146,'SCH F'!$C$15:$E$58,3,FALSE),"")</f>
        <v/>
      </c>
      <c r="E146" s="238" t="str">
        <f>IFERROR(VLOOKUP($A146,'SCH F'!$C$15:$G$58,5,FALSE),"")</f>
        <v/>
      </c>
    </row>
    <row r="147" spans="1:5" hidden="1" x14ac:dyDescent="0.25">
      <c r="A147" s="205" t="s">
        <v>300</v>
      </c>
      <c r="B147" s="205" t="s">
        <v>321</v>
      </c>
      <c r="C147" s="207" t="s">
        <v>197</v>
      </c>
      <c r="D147" s="223" t="str">
        <f>IFERROR(VLOOKUP($A147,'SCH F'!$C$15:$E$58,3,FALSE),"")</f>
        <v/>
      </c>
      <c r="E147" s="238" t="str">
        <f>IFERROR(VLOOKUP($A147,'SCH F'!$C$15:$G$58,5,FALSE),"")</f>
        <v/>
      </c>
    </row>
    <row r="148" spans="1:5" hidden="1" x14ac:dyDescent="0.25">
      <c r="A148" s="204" t="s">
        <v>301</v>
      </c>
      <c r="B148" s="204" t="s">
        <v>322</v>
      </c>
      <c r="C148" s="206" t="s">
        <v>197</v>
      </c>
      <c r="D148" s="223" t="str">
        <f>IFERROR(VLOOKUP($A148,'SCH F'!$C$15:$E$58,3,FALSE),"")</f>
        <v/>
      </c>
      <c r="E148" s="238" t="str">
        <f>IFERROR(VLOOKUP($A148,'SCH F'!$C$15:$G$58,5,FALSE),"")</f>
        <v/>
      </c>
    </row>
    <row r="149" spans="1:5" hidden="1" x14ac:dyDescent="0.25">
      <c r="A149" s="205" t="s">
        <v>302</v>
      </c>
      <c r="B149" s="205" t="s">
        <v>323</v>
      </c>
      <c r="C149" s="207" t="s">
        <v>197</v>
      </c>
      <c r="D149" s="223" t="str">
        <f>IFERROR(VLOOKUP($A149,'SCH F'!$C$15:$E$58,3,FALSE),"")</f>
        <v/>
      </c>
      <c r="E149" s="238" t="str">
        <f>IFERROR(VLOOKUP($A149,'SCH F'!$C$15:$G$58,5,FALSE),"")</f>
        <v/>
      </c>
    </row>
    <row r="150" spans="1:5" hidden="1" x14ac:dyDescent="0.25">
      <c r="A150" s="204" t="s">
        <v>303</v>
      </c>
      <c r="B150" s="204" t="s">
        <v>324</v>
      </c>
      <c r="C150" s="206" t="s">
        <v>197</v>
      </c>
      <c r="D150" s="223" t="str">
        <f>IFERROR(VLOOKUP($A150,'SCH F'!$C$15:$E$58,3,FALSE),"")</f>
        <v/>
      </c>
      <c r="E150" s="238" t="str">
        <f>IFERROR(VLOOKUP($A150,'SCH F'!$C$15:$G$58,5,FALSE),"")</f>
        <v/>
      </c>
    </row>
    <row r="151" spans="1:5" hidden="1" x14ac:dyDescent="0.25">
      <c r="A151" s="205" t="s">
        <v>304</v>
      </c>
      <c r="B151" s="205" t="s">
        <v>325</v>
      </c>
      <c r="C151" s="207" t="s">
        <v>197</v>
      </c>
      <c r="D151" s="223" t="str">
        <f>IFERROR(VLOOKUP($A151,'SCH F'!$C$15:$E$58,3,FALSE),"")</f>
        <v/>
      </c>
      <c r="E151" s="238" t="str">
        <f>IFERROR(VLOOKUP($A151,'SCH F'!$C$15:$G$58,5,FALSE),"")</f>
        <v/>
      </c>
    </row>
    <row r="152" spans="1:5" hidden="1" x14ac:dyDescent="0.25">
      <c r="A152" s="204" t="s">
        <v>305</v>
      </c>
      <c r="B152" s="204" t="s">
        <v>326</v>
      </c>
      <c r="C152" s="206" t="s">
        <v>197</v>
      </c>
      <c r="D152" s="223" t="str">
        <f>IFERROR(VLOOKUP($A152,'SCH F'!$C$15:$E$58,3,FALSE),"")</f>
        <v/>
      </c>
      <c r="E152" s="238" t="str">
        <f>IFERROR(VLOOKUP($A152,'SCH F'!$C$15:$G$58,5,FALSE),"")</f>
        <v/>
      </c>
    </row>
    <row r="153" spans="1:5" hidden="1" x14ac:dyDescent="0.25">
      <c r="A153" s="205" t="s">
        <v>306</v>
      </c>
      <c r="B153" s="205" t="s">
        <v>327</v>
      </c>
      <c r="C153" s="207" t="s">
        <v>197</v>
      </c>
      <c r="D153" s="223" t="str">
        <f>IFERROR(VLOOKUP($A153,'SCH F'!$C$15:$E$58,3,FALSE),"")</f>
        <v/>
      </c>
      <c r="E153" s="238" t="str">
        <f>IFERROR(VLOOKUP($A153,'SCH F'!$C$15:$G$58,5,FALSE),"")</f>
        <v/>
      </c>
    </row>
    <row r="154" spans="1:5" hidden="1" x14ac:dyDescent="0.25">
      <c r="A154" s="204" t="s">
        <v>307</v>
      </c>
      <c r="B154" s="204" t="s">
        <v>328</v>
      </c>
      <c r="C154" s="206" t="s">
        <v>197</v>
      </c>
      <c r="D154" s="223" t="str">
        <f>IFERROR(VLOOKUP($A154,'SCH F'!$C$15:$E$58,3,FALSE),"")</f>
        <v/>
      </c>
      <c r="E154" s="238" t="str">
        <f>IFERROR(VLOOKUP($A154,'SCH F'!$C$15:$G$58,5,FALSE),"")</f>
        <v/>
      </c>
    </row>
    <row r="155" spans="1:5" hidden="1" x14ac:dyDescent="0.25">
      <c r="A155" s="205" t="s">
        <v>308</v>
      </c>
      <c r="B155" s="205" t="s">
        <v>329</v>
      </c>
      <c r="C155" s="207" t="s">
        <v>197</v>
      </c>
      <c r="D155" s="223" t="str">
        <f>IFERROR(VLOOKUP($A155,'SCH F'!$C$15:$E$58,3,FALSE),"")</f>
        <v/>
      </c>
      <c r="E155" s="238" t="str">
        <f>IFERROR(VLOOKUP($A155,'SCH F'!$C$15:$G$58,5,FALSE),"")</f>
        <v/>
      </c>
    </row>
    <row r="156" spans="1:5" hidden="1" x14ac:dyDescent="0.25">
      <c r="A156" s="204" t="s">
        <v>309</v>
      </c>
      <c r="B156" s="204" t="s">
        <v>330</v>
      </c>
      <c r="C156" s="206" t="s">
        <v>197</v>
      </c>
      <c r="D156" s="223" t="str">
        <f>IFERROR(VLOOKUP($A156,'SCH F'!$C$15:$E$58,3,FALSE),"")</f>
        <v/>
      </c>
      <c r="E156" s="238" t="str">
        <f>IFERROR(VLOOKUP($A156,'SCH F'!$C$15:$G$58,5,FALSE),"")</f>
        <v/>
      </c>
    </row>
    <row r="157" spans="1:5" hidden="1" x14ac:dyDescent="0.25">
      <c r="A157" s="205" t="s">
        <v>310</v>
      </c>
      <c r="B157" s="205" t="s">
        <v>331</v>
      </c>
      <c r="C157" s="207" t="s">
        <v>197</v>
      </c>
      <c r="D157" s="223" t="str">
        <f>IFERROR(VLOOKUP($A157,'SCH F'!$C$15:$E$58,3,FALSE),"")</f>
        <v/>
      </c>
      <c r="E157" s="238" t="str">
        <f>IFERROR(VLOOKUP($A157,'SCH F'!$C$15:$G$58,5,FALSE),"")</f>
        <v/>
      </c>
    </row>
    <row r="158" spans="1:5" hidden="1" x14ac:dyDescent="0.25">
      <c r="A158" s="204" t="s">
        <v>311</v>
      </c>
      <c r="B158" s="204" t="s">
        <v>332</v>
      </c>
      <c r="C158" s="206" t="s">
        <v>197</v>
      </c>
      <c r="D158" s="223" t="str">
        <f>IFERROR(VLOOKUP($A158,'SCH F'!$C$15:$E$58,3,FALSE),"")</f>
        <v/>
      </c>
      <c r="E158" s="238" t="str">
        <f>IFERROR(VLOOKUP($A158,'SCH F'!$C$15:$G$58,5,FALSE),"")</f>
        <v/>
      </c>
    </row>
    <row r="159" spans="1:5" hidden="1" x14ac:dyDescent="0.25">
      <c r="A159" s="205" t="s">
        <v>312</v>
      </c>
      <c r="B159" s="205" t="s">
        <v>333</v>
      </c>
      <c r="C159" s="207" t="s">
        <v>197</v>
      </c>
      <c r="D159" s="223" t="str">
        <f>IFERROR(VLOOKUP($A159,'SCH F'!$C$15:$E$58,3,FALSE),"")</f>
        <v/>
      </c>
      <c r="E159" s="238" t="str">
        <f>IFERROR(VLOOKUP($A159,'SCH F'!$C$15:$G$58,5,FALSE),"")</f>
        <v/>
      </c>
    </row>
    <row r="160" spans="1:5" hidden="1" x14ac:dyDescent="0.25">
      <c r="A160" s="204" t="s">
        <v>313</v>
      </c>
      <c r="B160" s="204" t="s">
        <v>334</v>
      </c>
      <c r="C160" s="206" t="s">
        <v>197</v>
      </c>
      <c r="D160" s="223" t="str">
        <f>IFERROR(VLOOKUP($A160,'SCH F'!$C$15:$E$58,3,FALSE),"")</f>
        <v/>
      </c>
      <c r="E160" s="238" t="str">
        <f>IFERROR(VLOOKUP($A160,'SCH F'!$C$15:$G$58,5,FALSE),"")</f>
        <v/>
      </c>
    </row>
    <row r="161" spans="1:5" hidden="1" x14ac:dyDescent="0.25">
      <c r="A161" s="205" t="s">
        <v>314</v>
      </c>
      <c r="B161" s="205" t="s">
        <v>335</v>
      </c>
      <c r="C161" s="207" t="s">
        <v>197</v>
      </c>
      <c r="D161" s="223" t="str">
        <f>IFERROR(VLOOKUP($A161,'SCH F'!$C$15:$E$58,3,FALSE),"")</f>
        <v/>
      </c>
      <c r="E161" s="238" t="str">
        <f>IFERROR(VLOOKUP($A161,'SCH F'!$C$15:$G$58,5,FALSE),"")</f>
        <v/>
      </c>
    </row>
    <row r="162" spans="1:5" hidden="1" x14ac:dyDescent="0.25">
      <c r="A162" s="204" t="s">
        <v>315</v>
      </c>
      <c r="B162" s="204" t="s">
        <v>336</v>
      </c>
      <c r="C162" s="206" t="s">
        <v>197</v>
      </c>
      <c r="D162" s="223" t="str">
        <f>IFERROR(VLOOKUP($A162,'SCH F'!$C$15:$E$58,3,FALSE),"")</f>
        <v/>
      </c>
      <c r="E162" s="238" t="str">
        <f>IFERROR(VLOOKUP($A162,'SCH F'!$C$15:$G$58,5,FALSE),"")</f>
        <v/>
      </c>
    </row>
    <row r="163" spans="1:5" hidden="1" x14ac:dyDescent="0.25">
      <c r="A163" s="205" t="s">
        <v>316</v>
      </c>
      <c r="B163" s="205" t="s">
        <v>337</v>
      </c>
      <c r="C163" s="207" t="s">
        <v>197</v>
      </c>
      <c r="D163" s="223" t="str">
        <f>IFERROR(VLOOKUP($A163,'SCH F'!$C$15:$E$58,3,FALSE),"")</f>
        <v/>
      </c>
      <c r="E163" s="238" t="str">
        <f>IFERROR(VLOOKUP($A163,'SCH F'!$C$15:$G$58,5,FALSE),"")</f>
        <v/>
      </c>
    </row>
    <row r="164" spans="1:5" hidden="1" x14ac:dyDescent="0.25">
      <c r="A164" s="204" t="s">
        <v>317</v>
      </c>
      <c r="B164" s="204" t="s">
        <v>338</v>
      </c>
      <c r="C164" s="206" t="s">
        <v>197</v>
      </c>
      <c r="D164" s="223" t="str">
        <f>IFERROR(VLOOKUP($A164,'SCH F'!$C$15:$E$58,3,FALSE),"")</f>
        <v/>
      </c>
      <c r="E164" s="238" t="str">
        <f>IFERROR(VLOOKUP($A164,'SCH F'!$C$15:$G$58,5,FALSE),"")</f>
        <v/>
      </c>
    </row>
    <row r="165" spans="1:5" hidden="1" x14ac:dyDescent="0.25">
      <c r="A165" s="205" t="s">
        <v>339</v>
      </c>
      <c r="B165" s="205" t="s">
        <v>347</v>
      </c>
      <c r="C165" s="205" t="s">
        <v>197</v>
      </c>
      <c r="D165" s="223" t="str">
        <f>IFERROR(VLOOKUP($A165,'SCH F'!$C$15:$E$58,3,FALSE),"")</f>
        <v/>
      </c>
      <c r="E165" s="238" t="str">
        <f>IFERROR(VLOOKUP($A165,'SCH F'!$C$15:$G$58,5,FALSE),"")</f>
        <v/>
      </c>
    </row>
    <row r="166" spans="1:5" hidden="1" x14ac:dyDescent="0.25">
      <c r="A166" s="204" t="s">
        <v>340</v>
      </c>
      <c r="B166" s="204" t="s">
        <v>348</v>
      </c>
      <c r="C166" s="204" t="s">
        <v>197</v>
      </c>
      <c r="D166" s="223" t="str">
        <f>IFERROR(VLOOKUP($A166,'SCH F'!$C$15:$E$58,3,FALSE),"")</f>
        <v/>
      </c>
      <c r="E166" s="238" t="str">
        <f>IFERROR(VLOOKUP($A166,'SCH F'!$C$15:$G$58,5,FALSE),"")</f>
        <v/>
      </c>
    </row>
    <row r="167" spans="1:5" hidden="1" x14ac:dyDescent="0.25">
      <c r="A167" s="205" t="s">
        <v>341</v>
      </c>
      <c r="B167" s="205" t="s">
        <v>349</v>
      </c>
      <c r="C167" s="205" t="s">
        <v>197</v>
      </c>
      <c r="D167" s="223" t="str">
        <f>IFERROR(VLOOKUP($A167,'SCH F'!$C$15:$E$58,3,FALSE),"")</f>
        <v/>
      </c>
      <c r="E167" s="238" t="str">
        <f>IFERROR(VLOOKUP($A167,'SCH F'!$C$15:$G$58,5,FALSE),"")</f>
        <v/>
      </c>
    </row>
    <row r="168" spans="1:5" hidden="1" x14ac:dyDescent="0.25">
      <c r="A168" s="204" t="s">
        <v>342</v>
      </c>
      <c r="B168" s="204" t="s">
        <v>350</v>
      </c>
      <c r="C168" s="204" t="s">
        <v>197</v>
      </c>
      <c r="D168" s="223" t="str">
        <f>IFERROR(VLOOKUP($A168,'SCH F'!$C$15:$E$58,3,FALSE),"")</f>
        <v/>
      </c>
      <c r="E168" s="238" t="str">
        <f>IFERROR(VLOOKUP($A168,'SCH F'!$C$15:$G$58,5,FALSE),"")</f>
        <v/>
      </c>
    </row>
    <row r="169" spans="1:5" hidden="1" x14ac:dyDescent="0.25">
      <c r="A169" s="205" t="s">
        <v>343</v>
      </c>
      <c r="B169" s="205" t="s">
        <v>351</v>
      </c>
      <c r="C169" s="205" t="s">
        <v>197</v>
      </c>
      <c r="D169" s="223" t="str">
        <f>IFERROR(VLOOKUP($A169,'SCH F'!$C$15:$E$58,3,FALSE),"")</f>
        <v/>
      </c>
      <c r="E169" s="238" t="str">
        <f>IFERROR(VLOOKUP($A169,'SCH F'!$C$15:$G$58,5,FALSE),"")</f>
        <v/>
      </c>
    </row>
    <row r="170" spans="1:5" hidden="1" x14ac:dyDescent="0.25">
      <c r="A170" s="204" t="s">
        <v>344</v>
      </c>
      <c r="B170" s="204" t="s">
        <v>352</v>
      </c>
      <c r="C170" s="204" t="s">
        <v>197</v>
      </c>
      <c r="D170" s="223" t="str">
        <f>IFERROR(VLOOKUP($A170,'SCH F'!$C$15:$E$58,3,FALSE),"")</f>
        <v/>
      </c>
      <c r="E170" s="238" t="str">
        <f>IFERROR(VLOOKUP($A170,'SCH F'!$C$15:$G$58,5,FALSE),"")</f>
        <v/>
      </c>
    </row>
    <row r="171" spans="1:5" hidden="1" x14ac:dyDescent="0.25">
      <c r="A171" s="205" t="s">
        <v>345</v>
      </c>
      <c r="B171" s="205" t="s">
        <v>353</v>
      </c>
      <c r="C171" s="205" t="s">
        <v>197</v>
      </c>
      <c r="D171" s="223" t="str">
        <f>IFERROR(VLOOKUP($A171,'SCH F'!$C$15:$E$58,3,FALSE),"")</f>
        <v/>
      </c>
      <c r="E171" s="238" t="str">
        <f>IFERROR(VLOOKUP($A171,'SCH F'!$C$15:$G$58,5,FALSE),"")</f>
        <v/>
      </c>
    </row>
    <row r="172" spans="1:5" hidden="1" x14ac:dyDescent="0.25">
      <c r="A172" s="204" t="s">
        <v>346</v>
      </c>
      <c r="B172" s="204" t="s">
        <v>354</v>
      </c>
      <c r="C172" s="204" t="s">
        <v>197</v>
      </c>
      <c r="D172" s="223" t="str">
        <f>IFERROR(VLOOKUP($A172,'SCH F'!$C$15:$E$58,3,FALSE),"")</f>
        <v/>
      </c>
      <c r="E172" s="238" t="str">
        <f>IFERROR(VLOOKUP($A172,'SCH F'!$C$15:$G$58,5,FALSE),"")</f>
        <v/>
      </c>
    </row>
    <row r="173" spans="1:5" ht="26.25" hidden="1" x14ac:dyDescent="0.25">
      <c r="A173" s="215" t="s">
        <v>297</v>
      </c>
      <c r="B173" s="221" t="s">
        <v>318</v>
      </c>
      <c r="C173" s="217" t="s">
        <v>197</v>
      </c>
      <c r="D173" s="223" t="str">
        <f>IFERROR(VLOOKUP($A173,'SCH F'!$C$15:$E$58,3,FALSE),"")</f>
        <v/>
      </c>
      <c r="E173" s="238" t="str">
        <f>IFERROR(VLOOKUP($A173,'SCH F'!$C$15:$G$58,5,FALSE),"")</f>
        <v/>
      </c>
    </row>
    <row r="174" spans="1:5" ht="26.25" hidden="1" x14ac:dyDescent="0.25">
      <c r="A174" s="205" t="s">
        <v>298</v>
      </c>
      <c r="B174" s="212" t="s">
        <v>319</v>
      </c>
      <c r="C174" s="207" t="s">
        <v>197</v>
      </c>
      <c r="D174" s="223" t="str">
        <f>IFERROR(VLOOKUP($A174,'SCH F'!$C$15:$E$58,3,FALSE),"")</f>
        <v/>
      </c>
      <c r="E174" s="238" t="str">
        <f>IFERROR(VLOOKUP($A174,'SCH F'!$C$15:$G$58,5,FALSE),"")</f>
        <v/>
      </c>
    </row>
    <row r="175" spans="1:5" ht="26.25" hidden="1" x14ac:dyDescent="0.25">
      <c r="A175" s="204" t="s">
        <v>299</v>
      </c>
      <c r="B175" s="213" t="s">
        <v>320</v>
      </c>
      <c r="C175" s="206" t="s">
        <v>197</v>
      </c>
      <c r="D175" s="223" t="str">
        <f>IFERROR(VLOOKUP($A175,'SCH F'!$C$15:$E$58,3,FALSE),"")</f>
        <v/>
      </c>
      <c r="E175" s="238" t="str">
        <f>IFERROR(VLOOKUP($A175,'SCH F'!$C$15:$G$58,5,FALSE),"")</f>
        <v/>
      </c>
    </row>
    <row r="176" spans="1:5" ht="26.25" hidden="1" x14ac:dyDescent="0.25">
      <c r="A176" s="205" t="s">
        <v>300</v>
      </c>
      <c r="B176" s="212" t="s">
        <v>321</v>
      </c>
      <c r="C176" s="207" t="s">
        <v>197</v>
      </c>
      <c r="D176" s="223" t="str">
        <f>IFERROR(VLOOKUP($A176,'SCH F'!$C$15:$E$58,3,FALSE),"")</f>
        <v/>
      </c>
      <c r="E176" s="238" t="str">
        <f>IFERROR(VLOOKUP($A176,'SCH F'!$C$15:$G$58,5,FALSE),"")</f>
        <v/>
      </c>
    </row>
    <row r="177" spans="1:5" ht="26.25" hidden="1" x14ac:dyDescent="0.25">
      <c r="A177" s="204" t="s">
        <v>301</v>
      </c>
      <c r="B177" s="213" t="s">
        <v>322</v>
      </c>
      <c r="C177" s="206" t="s">
        <v>197</v>
      </c>
      <c r="D177" s="223" t="str">
        <f>IFERROR(VLOOKUP($A177,'SCH F'!$C$15:$E$58,3,FALSE),"")</f>
        <v/>
      </c>
      <c r="E177" s="238" t="str">
        <f>IFERROR(VLOOKUP($A177,'SCH F'!$C$15:$G$58,5,FALSE),"")</f>
        <v/>
      </c>
    </row>
    <row r="178" spans="1:5" ht="26.25" hidden="1" x14ac:dyDescent="0.25">
      <c r="A178" s="205" t="s">
        <v>302</v>
      </c>
      <c r="B178" s="212" t="s">
        <v>323</v>
      </c>
      <c r="C178" s="207" t="s">
        <v>197</v>
      </c>
      <c r="D178" s="223" t="str">
        <f>IFERROR(VLOOKUP($A178,'SCH F'!$C$15:$E$58,3,FALSE),"")</f>
        <v/>
      </c>
      <c r="E178" s="238" t="str">
        <f>IFERROR(VLOOKUP($A178,'SCH F'!$C$15:$G$58,5,FALSE),"")</f>
        <v/>
      </c>
    </row>
    <row r="179" spans="1:5" ht="26.25" hidden="1" x14ac:dyDescent="0.25">
      <c r="A179" s="204" t="s">
        <v>303</v>
      </c>
      <c r="B179" s="213" t="s">
        <v>324</v>
      </c>
      <c r="C179" s="206" t="s">
        <v>197</v>
      </c>
      <c r="D179" s="223" t="str">
        <f>IFERROR(VLOOKUP($A179,'SCH F'!$C$15:$E$58,3,FALSE),"")</f>
        <v/>
      </c>
      <c r="E179" s="238" t="str">
        <f>IFERROR(VLOOKUP($A179,'SCH F'!$C$15:$G$58,5,FALSE),"")</f>
        <v/>
      </c>
    </row>
    <row r="180" spans="1:5" ht="26.25" hidden="1" x14ac:dyDescent="0.25">
      <c r="A180" s="205" t="s">
        <v>310</v>
      </c>
      <c r="B180" s="212" t="s">
        <v>331</v>
      </c>
      <c r="C180" s="207" t="s">
        <v>197</v>
      </c>
      <c r="D180" s="223" t="str">
        <f>IFERROR(VLOOKUP($A180,'SCH F'!$C$15:$E$58,3,FALSE),"")</f>
        <v/>
      </c>
      <c r="E180" s="238" t="str">
        <f>IFERROR(VLOOKUP($A180,'SCH F'!$C$15:$G$58,5,FALSE),"")</f>
        <v/>
      </c>
    </row>
    <row r="181" spans="1:5" ht="26.25" hidden="1" x14ac:dyDescent="0.25">
      <c r="A181" s="204" t="s">
        <v>311</v>
      </c>
      <c r="B181" s="213" t="s">
        <v>332</v>
      </c>
      <c r="C181" s="206" t="s">
        <v>197</v>
      </c>
      <c r="D181" s="223" t="str">
        <f>IFERROR(VLOOKUP($A181,'SCH F'!$C$15:$E$58,3,FALSE),"")</f>
        <v/>
      </c>
      <c r="E181" s="238" t="str">
        <f>IFERROR(VLOOKUP($A181,'SCH F'!$C$15:$G$58,5,FALSE),"")</f>
        <v/>
      </c>
    </row>
    <row r="182" spans="1:5" ht="26.25" hidden="1" x14ac:dyDescent="0.25">
      <c r="A182" s="205" t="s">
        <v>312</v>
      </c>
      <c r="B182" s="212" t="s">
        <v>333</v>
      </c>
      <c r="C182" s="207" t="s">
        <v>197</v>
      </c>
      <c r="D182" s="223" t="str">
        <f>IFERROR(VLOOKUP($A182,'SCH F'!$C$15:$E$58,3,FALSE),"")</f>
        <v/>
      </c>
      <c r="E182" s="238" t="str">
        <f>IFERROR(VLOOKUP($A182,'SCH F'!$C$15:$G$58,5,FALSE),"")</f>
        <v/>
      </c>
    </row>
    <row r="183" spans="1:5" hidden="1" x14ac:dyDescent="0.25">
      <c r="A183" s="205" t="s">
        <v>339</v>
      </c>
      <c r="B183" s="205" t="s">
        <v>347</v>
      </c>
      <c r="C183" s="205" t="s">
        <v>197</v>
      </c>
      <c r="D183" s="223" t="str">
        <f>IFERROR(VLOOKUP($A183,'SCH F'!$C$15:$E$58,3,FALSE),"")</f>
        <v/>
      </c>
      <c r="E183" s="238" t="str">
        <f>IFERROR(VLOOKUP($A183,'SCH F'!$C$15:$G$58,5,FALSE),"")</f>
        <v/>
      </c>
    </row>
    <row r="184" spans="1:5" hidden="1" x14ac:dyDescent="0.25">
      <c r="A184" s="204" t="s">
        <v>340</v>
      </c>
      <c r="B184" s="204" t="s">
        <v>348</v>
      </c>
      <c r="C184" s="204" t="s">
        <v>197</v>
      </c>
      <c r="D184" s="223" t="str">
        <f>IFERROR(VLOOKUP($A184,'SCH F'!$C$15:$E$58,3,FALSE),"")</f>
        <v/>
      </c>
      <c r="E184" s="238" t="str">
        <f>IFERROR(VLOOKUP($A184,'SCH F'!$C$15:$G$58,5,FALSE),"")</f>
        <v/>
      </c>
    </row>
    <row r="185" spans="1:5" hidden="1" x14ac:dyDescent="0.25">
      <c r="A185" s="205" t="s">
        <v>341</v>
      </c>
      <c r="B185" s="205" t="s">
        <v>349</v>
      </c>
      <c r="C185" s="205" t="s">
        <v>197</v>
      </c>
      <c r="D185" s="223" t="str">
        <f>IFERROR(VLOOKUP($A185,'SCH F'!$C$15:$E$58,3,FALSE),"")</f>
        <v/>
      </c>
      <c r="E185" s="238" t="str">
        <f>IFERROR(VLOOKUP($A185,'SCH F'!$C$15:$G$58,5,FALSE),"")</f>
        <v/>
      </c>
    </row>
    <row r="186" spans="1:5" hidden="1" x14ac:dyDescent="0.25">
      <c r="A186" s="204" t="s">
        <v>342</v>
      </c>
      <c r="B186" s="204" t="s">
        <v>350</v>
      </c>
      <c r="C186" s="204" t="s">
        <v>197</v>
      </c>
      <c r="D186" s="223" t="str">
        <f>IFERROR(VLOOKUP($A186,'SCH F'!$C$15:$E$58,3,FALSE),"")</f>
        <v/>
      </c>
      <c r="E186" s="238" t="str">
        <f>IFERROR(VLOOKUP($A186,'SCH F'!$C$15:$G$58,5,FALSE),"")</f>
        <v/>
      </c>
    </row>
    <row r="187" spans="1:5" ht="18.600000000000001" hidden="1" customHeight="1" x14ac:dyDescent="0.25">
      <c r="A187" s="205" t="s">
        <v>343</v>
      </c>
      <c r="B187" s="205" t="s">
        <v>351</v>
      </c>
      <c r="C187" s="205" t="s">
        <v>197</v>
      </c>
      <c r="D187" s="223" t="str">
        <f>IFERROR(VLOOKUP($A187,'SCH F'!$C$15:$E$58,3,FALSE),"")</f>
        <v/>
      </c>
      <c r="E187" s="238" t="str">
        <f>IFERROR(VLOOKUP($A187,'SCH F'!$C$15:$G$58,5,FALSE),"")</f>
        <v/>
      </c>
    </row>
    <row r="188" spans="1:5" ht="20.45" hidden="1" customHeight="1" x14ac:dyDescent="0.25">
      <c r="A188" s="204" t="s">
        <v>344</v>
      </c>
      <c r="B188" s="204" t="s">
        <v>352</v>
      </c>
      <c r="C188" s="204" t="s">
        <v>197</v>
      </c>
      <c r="D188" s="223" t="str">
        <f>IFERROR(VLOOKUP($A188,'SCH F'!$C$15:$E$58,3,FALSE),"")</f>
        <v/>
      </c>
      <c r="E188" s="238" t="str">
        <f>IFERROR(VLOOKUP($A188,'SCH F'!$C$15:$G$58,5,FALSE),"")</f>
        <v/>
      </c>
    </row>
  </sheetData>
  <pageMargins left="0.7" right="0.7" top="0.75" bottom="0.75" header="0.3" footer="0.3"/>
  <pageSetup orientation="portrait" horizontalDpi="1200" verticalDpi="12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J41"/>
  <sheetViews>
    <sheetView topLeftCell="A4" zoomScaleNormal="100" workbookViewId="0">
      <selection activeCell="M32" sqref="M32"/>
    </sheetView>
  </sheetViews>
  <sheetFormatPr defaultRowHeight="15" x14ac:dyDescent="0.25"/>
  <cols>
    <col min="1" max="1" width="1.42578125" customWidth="1"/>
    <col min="2" max="2" width="14.140625" customWidth="1"/>
    <col min="3" max="3" width="26.5703125" customWidth="1"/>
    <col min="4" max="10" width="14.5703125" customWidth="1"/>
  </cols>
  <sheetData>
    <row r="1" spans="2:10" ht="6" customHeight="1" x14ac:dyDescent="0.25"/>
    <row r="2" spans="2:10" ht="15" customHeight="1" x14ac:dyDescent="0.25">
      <c r="B2" s="302" t="s">
        <v>123</v>
      </c>
      <c r="C2" s="302"/>
      <c r="D2" s="302"/>
      <c r="E2" s="302"/>
      <c r="F2" s="302"/>
      <c r="G2" s="302"/>
      <c r="H2" s="302"/>
      <c r="I2" s="302"/>
    </row>
    <row r="3" spans="2:10" ht="15" customHeight="1" x14ac:dyDescent="0.25">
      <c r="B3" s="7"/>
      <c r="C3" s="7"/>
      <c r="E3" s="11" t="s">
        <v>14</v>
      </c>
      <c r="F3" s="159">
        <f>Instructions!P7</f>
        <v>0</v>
      </c>
      <c r="G3" s="9"/>
      <c r="H3" s="9"/>
      <c r="I3" s="9"/>
    </row>
    <row r="4" spans="2:10" ht="15" customHeight="1" x14ac:dyDescent="0.25">
      <c r="B4" s="7"/>
      <c r="C4" s="7"/>
      <c r="D4" s="7"/>
      <c r="E4" s="10"/>
      <c r="F4" s="8"/>
      <c r="G4" s="9"/>
      <c r="H4" s="9"/>
      <c r="I4" s="9"/>
    </row>
    <row r="5" spans="2:10" ht="15" customHeight="1" x14ac:dyDescent="0.25">
      <c r="B5" s="11" t="s">
        <v>2</v>
      </c>
      <c r="C5" s="143">
        <f>Instructions!P4</f>
        <v>0</v>
      </c>
      <c r="D5" s="143"/>
      <c r="E5" s="12"/>
      <c r="F5" s="12"/>
      <c r="G5" s="13"/>
      <c r="H5" s="14" t="s">
        <v>4</v>
      </c>
      <c r="I5" s="15">
        <f ca="1" xml:space="preserve"> TODAY()</f>
        <v>46036</v>
      </c>
    </row>
    <row r="6" spans="2:10" ht="5.25" customHeight="1" x14ac:dyDescent="0.25">
      <c r="B6" s="11"/>
      <c r="C6" s="143"/>
      <c r="D6" s="143"/>
      <c r="E6" s="12"/>
      <c r="F6" s="12"/>
      <c r="G6" s="13"/>
      <c r="H6" s="14"/>
      <c r="I6" s="15"/>
    </row>
    <row r="7" spans="2:10" ht="15" customHeight="1" x14ac:dyDescent="0.25">
      <c r="B7" s="11" t="s">
        <v>3</v>
      </c>
      <c r="C7" s="303">
        <f>Instructions!P5</f>
        <v>0</v>
      </c>
      <c r="D7" s="303">
        <f>+'SCH A'!D7</f>
        <v>0</v>
      </c>
      <c r="E7" s="303">
        <f>+'SCH A'!E7</f>
        <v>0</v>
      </c>
      <c r="F7" s="303">
        <f>+'SCH A'!F7</f>
        <v>0</v>
      </c>
      <c r="G7" s="303">
        <f>+'SCH A'!G7</f>
        <v>0</v>
      </c>
      <c r="H7" s="146" t="s">
        <v>119</v>
      </c>
      <c r="I7" s="144">
        <f>Instructions!P6</f>
        <v>0</v>
      </c>
      <c r="J7" s="147"/>
    </row>
    <row r="8" spans="2:10" ht="15" customHeight="1" thickBot="1" x14ac:dyDescent="0.3">
      <c r="B8" s="11"/>
      <c r="C8" s="143"/>
      <c r="D8" s="143"/>
      <c r="E8" s="143"/>
      <c r="F8" s="143"/>
      <c r="G8" s="143"/>
      <c r="H8" s="14"/>
      <c r="I8" s="17"/>
      <c r="J8" s="147"/>
    </row>
    <row r="9" spans="2:10" ht="19.5" customHeight="1" thickBot="1" x14ac:dyDescent="0.3">
      <c r="B9" s="304" t="s">
        <v>113</v>
      </c>
      <c r="C9" s="304"/>
      <c r="D9" s="304"/>
      <c r="E9" s="304"/>
      <c r="F9" s="304"/>
      <c r="G9" s="304"/>
      <c r="H9" s="304"/>
      <c r="I9" s="304"/>
      <c r="J9" s="305"/>
    </row>
    <row r="10" spans="2:10" ht="6" customHeight="1" x14ac:dyDescent="0.25">
      <c r="B10" s="150"/>
      <c r="C10" s="150"/>
      <c r="D10" s="150"/>
      <c r="E10" s="150"/>
      <c r="F10" s="150"/>
      <c r="G10" s="150"/>
      <c r="H10" s="150"/>
      <c r="I10" s="150"/>
      <c r="J10" s="147"/>
    </row>
    <row r="11" spans="2:10" ht="15" customHeight="1" x14ac:dyDescent="0.25">
      <c r="B11" s="11"/>
      <c r="C11" s="143"/>
      <c r="D11" s="158" t="s">
        <v>121</v>
      </c>
      <c r="E11" s="158" t="s">
        <v>114</v>
      </c>
      <c r="F11" s="158" t="s">
        <v>115</v>
      </c>
      <c r="G11" s="158" t="s">
        <v>116</v>
      </c>
      <c r="H11" s="158" t="s">
        <v>117</v>
      </c>
      <c r="I11" s="158" t="s">
        <v>118</v>
      </c>
      <c r="J11" s="151"/>
    </row>
    <row r="12" spans="2:10" ht="6" customHeight="1" x14ac:dyDescent="0.25">
      <c r="B12" s="11"/>
      <c r="C12" s="143"/>
      <c r="D12" s="154"/>
      <c r="E12" s="154"/>
      <c r="F12" s="154"/>
      <c r="G12" s="154"/>
      <c r="H12" s="154"/>
      <c r="I12" s="154"/>
      <c r="J12" s="151"/>
    </row>
    <row r="13" spans="2:10" ht="15" customHeight="1" x14ac:dyDescent="0.25">
      <c r="B13" s="7"/>
      <c r="C13" s="7"/>
      <c r="D13" s="155" t="str">
        <f>+'SCH A'!$I$7</f>
        <v xml:space="preserve">Schedule: </v>
      </c>
      <c r="E13" s="155" t="str">
        <f>+'SCH A'!$I$7</f>
        <v xml:space="preserve">Schedule: </v>
      </c>
      <c r="F13" s="155" t="str">
        <f>+'SCH A'!$I$7</f>
        <v xml:space="preserve">Schedule: </v>
      </c>
      <c r="G13" s="155" t="str">
        <f>+'SCH A'!$I$7</f>
        <v xml:space="preserve">Schedule: </v>
      </c>
      <c r="H13" s="155" t="str">
        <f>+'SCH A'!$I$7</f>
        <v xml:space="preserve">Schedule: </v>
      </c>
      <c r="I13" s="155" t="str">
        <f>+'SCH A'!$I$7</f>
        <v xml:space="preserve">Schedule: </v>
      </c>
    </row>
    <row r="14" spans="2:10" x14ac:dyDescent="0.25">
      <c r="B14" s="7"/>
      <c r="C14" s="7"/>
      <c r="D14" s="156" t="str">
        <f>+'SCH A'!$J$7</f>
        <v>A</v>
      </c>
      <c r="E14" s="156" t="str">
        <f>+'SCH B'!$J$7</f>
        <v>B</v>
      </c>
      <c r="F14" s="156" t="str">
        <f>+'SCH C'!$J$7</f>
        <v>C</v>
      </c>
      <c r="G14" s="156" t="str">
        <f>+'SCH D'!$J$7</f>
        <v>D</v>
      </c>
      <c r="H14" s="156" t="str">
        <f>+'SCH E'!$J$7</f>
        <v>E</v>
      </c>
      <c r="I14" s="156" t="str">
        <f>+'SCH F'!$J$7</f>
        <v>F</v>
      </c>
      <c r="J14" s="157" t="s">
        <v>120</v>
      </c>
    </row>
    <row r="15" spans="2:10" x14ac:dyDescent="0.25">
      <c r="B15" s="160" t="s">
        <v>105</v>
      </c>
      <c r="C15" s="161"/>
      <c r="D15" s="162"/>
      <c r="E15" s="162"/>
      <c r="F15" s="162"/>
      <c r="G15" s="162"/>
      <c r="H15" s="162"/>
      <c r="I15" s="162"/>
      <c r="J15" s="163">
        <f>SUM(D15:I15)</f>
        <v>0</v>
      </c>
    </row>
    <row r="16" spans="2:10" x14ac:dyDescent="0.25">
      <c r="B16" s="179" t="s">
        <v>106</v>
      </c>
      <c r="C16" s="172"/>
      <c r="D16" s="173"/>
      <c r="E16" s="173"/>
      <c r="F16" s="173"/>
      <c r="G16" s="173"/>
      <c r="H16" s="173"/>
      <c r="I16" s="173"/>
      <c r="J16" s="174">
        <f>SUM(D16:I16)</f>
        <v>0</v>
      </c>
    </row>
    <row r="17" spans="2:10" x14ac:dyDescent="0.25">
      <c r="B17" s="175" t="s">
        <v>107</v>
      </c>
      <c r="C17" s="176"/>
      <c r="D17" s="177" t="str">
        <f>IF(ISNUMBER(D15),+D15+D16,"-")</f>
        <v>-</v>
      </c>
      <c r="E17" s="177" t="str">
        <f t="shared" ref="E17:J17" si="0">IF(ISNUMBER(E15),+E15+E16,"-")</f>
        <v>-</v>
      </c>
      <c r="F17" s="177" t="str">
        <f t="shared" ref="F17:I17" si="1">IF(ISNUMBER(F15),+F15+F16,"-")</f>
        <v>-</v>
      </c>
      <c r="G17" s="177" t="str">
        <f t="shared" si="1"/>
        <v>-</v>
      </c>
      <c r="H17" s="177" t="str">
        <f t="shared" si="1"/>
        <v>-</v>
      </c>
      <c r="I17" s="177" t="str">
        <f t="shared" si="1"/>
        <v>-</v>
      </c>
      <c r="J17" s="177">
        <f t="shared" si="0"/>
        <v>0</v>
      </c>
    </row>
    <row r="18" spans="2:10" x14ac:dyDescent="0.25">
      <c r="B18" s="148"/>
      <c r="D18" s="153"/>
      <c r="E18" s="153"/>
      <c r="F18" s="153"/>
      <c r="G18" s="153"/>
      <c r="H18" s="153"/>
      <c r="I18" s="153"/>
      <c r="J18" s="153"/>
    </row>
    <row r="19" spans="2:10" x14ac:dyDescent="0.25">
      <c r="B19" s="164" t="s">
        <v>108</v>
      </c>
      <c r="C19" s="161"/>
      <c r="D19" s="163">
        <f>+'SCH A'!$J$47</f>
        <v>0</v>
      </c>
      <c r="E19" s="163">
        <f>+'SCH B'!$J$47</f>
        <v>0</v>
      </c>
      <c r="F19" s="163">
        <f>+'SCH C'!$J$47</f>
        <v>0</v>
      </c>
      <c r="G19" s="163">
        <f>+'SCH D'!$J$47</f>
        <v>0</v>
      </c>
      <c r="H19" s="163">
        <f>+'SCH E'!$J$47</f>
        <v>0</v>
      </c>
      <c r="I19" s="163">
        <f>+'SCH F'!$J$47</f>
        <v>0</v>
      </c>
      <c r="J19" s="163">
        <f>SUM(D19:I19)</f>
        <v>0</v>
      </c>
    </row>
    <row r="20" spans="2:10" x14ac:dyDescent="0.25">
      <c r="B20" s="165" t="s">
        <v>109</v>
      </c>
      <c r="C20" s="166"/>
      <c r="D20" s="167">
        <f>+'SCH A'!$J$60</f>
        <v>0</v>
      </c>
      <c r="E20" s="167">
        <f>+'SCH B'!$J$60</f>
        <v>0</v>
      </c>
      <c r="F20" s="167">
        <f>+'SCH C'!$J$60</f>
        <v>0</v>
      </c>
      <c r="G20" s="167">
        <f>+'SCH D'!$J$60</f>
        <v>0</v>
      </c>
      <c r="H20" s="167">
        <f>+'SCH E'!$J$60</f>
        <v>0</v>
      </c>
      <c r="I20" s="167">
        <f>+'SCH F'!$J$60</f>
        <v>0</v>
      </c>
      <c r="J20" s="167">
        <f>SUM(D20:I20)</f>
        <v>0</v>
      </c>
    </row>
    <row r="21" spans="2:10" x14ac:dyDescent="0.25">
      <c r="B21" s="171" t="s">
        <v>110</v>
      </c>
      <c r="C21" s="172"/>
      <c r="D21" s="173"/>
      <c r="E21" s="173"/>
      <c r="F21" s="173"/>
      <c r="G21" s="173"/>
      <c r="H21" s="173"/>
      <c r="I21" s="173"/>
      <c r="J21" s="174">
        <f>SUM(D21:I21)</f>
        <v>0</v>
      </c>
    </row>
    <row r="22" spans="2:10" x14ac:dyDescent="0.25">
      <c r="B22" s="175" t="s">
        <v>111</v>
      </c>
      <c r="C22" s="176"/>
      <c r="D22" s="177" t="str">
        <f t="shared" ref="D22:J22" si="2">IF(ISNUMBER(D15),SUM(D19:D21),"-")</f>
        <v>-</v>
      </c>
      <c r="E22" s="177" t="str">
        <f t="shared" si="2"/>
        <v>-</v>
      </c>
      <c r="F22" s="177" t="str">
        <f t="shared" si="2"/>
        <v>-</v>
      </c>
      <c r="G22" s="177" t="str">
        <f t="shared" si="2"/>
        <v>-</v>
      </c>
      <c r="H22" s="177" t="str">
        <f t="shared" si="2"/>
        <v>-</v>
      </c>
      <c r="I22" s="177" t="str">
        <f t="shared" si="2"/>
        <v>-</v>
      </c>
      <c r="J22" s="177">
        <f t="shared" si="2"/>
        <v>0</v>
      </c>
    </row>
    <row r="23" spans="2:10" ht="19.5" customHeight="1" thickBot="1" x14ac:dyDescent="0.3">
      <c r="B23" s="149"/>
      <c r="D23" s="152"/>
      <c r="E23" s="152"/>
      <c r="F23" s="152"/>
      <c r="G23" s="152"/>
      <c r="H23" s="152"/>
      <c r="I23" s="152"/>
      <c r="J23" s="152"/>
    </row>
    <row r="24" spans="2:10" ht="32.25" customHeight="1" thickBot="1" x14ac:dyDescent="0.3">
      <c r="B24" s="168" t="s">
        <v>112</v>
      </c>
      <c r="C24" s="169"/>
      <c r="D24" s="170" t="str">
        <f t="shared" ref="D24:J24" si="3">IF(ISNUMBER(D15),(+D17+D22),"-")</f>
        <v>-</v>
      </c>
      <c r="E24" s="170" t="str">
        <f t="shared" si="3"/>
        <v>-</v>
      </c>
      <c r="F24" s="170" t="str">
        <f t="shared" si="3"/>
        <v>-</v>
      </c>
      <c r="G24" s="170" t="str">
        <f t="shared" si="3"/>
        <v>-</v>
      </c>
      <c r="H24" s="170" t="str">
        <f t="shared" si="3"/>
        <v>-</v>
      </c>
      <c r="I24" s="170" t="str">
        <f t="shared" si="3"/>
        <v>-</v>
      </c>
      <c r="J24" s="178">
        <f t="shared" si="3"/>
        <v>0</v>
      </c>
    </row>
    <row r="41" spans="10:10" x14ac:dyDescent="0.25">
      <c r="J41" s="187" t="str">
        <f>'SCH A'!$J$79</f>
        <v>EFL-TM-ESS-01(13)</v>
      </c>
    </row>
  </sheetData>
  <mergeCells count="3">
    <mergeCell ref="B2:I2"/>
    <mergeCell ref="C7:G7"/>
    <mergeCell ref="B9:J9"/>
  </mergeCells>
  <dataValidations count="2">
    <dataValidation allowBlank="1" showInputMessage="1" showErrorMessage="1" promptTitle="Enter project number" prompt="Example:  CA FTNP JOTR 11(5)" sqref="C5:D5" xr:uid="{00000000-0002-0000-0D00-000000000000}"/>
    <dataValidation allowBlank="1" showInputMessage="1" showErrorMessage="1" promptTitle="Enter project name" prompt="Example:  Pinto Basin Road" sqref="C7:G7" xr:uid="{00000000-0002-0000-0D00-000001000000}"/>
  </dataValidations>
  <pageMargins left="0.5" right="0.5" top="0.75" bottom="0.75" header="0.3" footer="0.3"/>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6"/>
  <sheetViews>
    <sheetView workbookViewId="0">
      <selection activeCell="R9" sqref="R9"/>
    </sheetView>
  </sheetViews>
  <sheetFormatPr defaultRowHeight="15" x14ac:dyDescent="0.25"/>
  <cols>
    <col min="3" max="3" width="35.140625" customWidth="1"/>
    <col min="4" max="4" width="15.85546875" customWidth="1"/>
    <col min="5" max="5" width="14.42578125" customWidth="1"/>
    <col min="6" max="6" width="8.85546875" customWidth="1"/>
    <col min="7" max="7" width="18.5703125" customWidth="1"/>
  </cols>
  <sheetData>
    <row r="1" spans="1:8" x14ac:dyDescent="0.25">
      <c r="A1" s="62" t="s">
        <v>17</v>
      </c>
      <c r="B1" s="63"/>
      <c r="C1" s="63"/>
      <c r="D1" s="63" t="s">
        <v>27</v>
      </c>
      <c r="E1" s="63" t="s">
        <v>28</v>
      </c>
      <c r="F1" s="64">
        <v>0.7</v>
      </c>
      <c r="G1" s="64">
        <v>0.77</v>
      </c>
      <c r="H1" s="65" t="s">
        <v>15</v>
      </c>
    </row>
    <row r="2" spans="1:8" x14ac:dyDescent="0.25">
      <c r="A2" s="66" t="s">
        <v>18</v>
      </c>
      <c r="B2" s="67" t="s">
        <v>19</v>
      </c>
      <c r="C2" s="68"/>
      <c r="D2" s="68" t="s">
        <v>27</v>
      </c>
      <c r="E2" s="68" t="s">
        <v>28</v>
      </c>
      <c r="F2" s="69">
        <v>0.7</v>
      </c>
      <c r="G2" s="69">
        <v>0.77</v>
      </c>
      <c r="H2" s="70" t="s">
        <v>15</v>
      </c>
    </row>
    <row r="3" spans="1:8" x14ac:dyDescent="0.25">
      <c r="A3" s="121" t="s">
        <v>20</v>
      </c>
      <c r="B3" s="122" t="s">
        <v>21</v>
      </c>
      <c r="C3" s="123"/>
      <c r="D3" s="123" t="s">
        <v>27</v>
      </c>
      <c r="E3" s="123" t="s">
        <v>28</v>
      </c>
      <c r="F3" s="124">
        <v>0.7</v>
      </c>
      <c r="G3" s="124">
        <v>0.77</v>
      </c>
      <c r="H3" s="125" t="s">
        <v>15</v>
      </c>
    </row>
    <row r="4" spans="1:8" x14ac:dyDescent="0.25">
      <c r="A4" s="62" t="s">
        <v>22</v>
      </c>
      <c r="B4" s="90"/>
      <c r="C4" s="91"/>
      <c r="D4" s="63" t="s">
        <v>29</v>
      </c>
      <c r="E4" s="63" t="s">
        <v>30</v>
      </c>
      <c r="F4" s="64">
        <v>0.3</v>
      </c>
      <c r="G4" s="64">
        <v>0.36</v>
      </c>
      <c r="H4" s="65" t="s">
        <v>16</v>
      </c>
    </row>
    <row r="5" spans="1:8" x14ac:dyDescent="0.25">
      <c r="A5" s="66" t="s">
        <v>23</v>
      </c>
      <c r="B5" s="67" t="s">
        <v>24</v>
      </c>
      <c r="C5" s="92"/>
      <c r="D5" s="68" t="s">
        <v>29</v>
      </c>
      <c r="E5" s="68" t="s">
        <v>30</v>
      </c>
      <c r="F5" s="69">
        <v>0.3</v>
      </c>
      <c r="G5" s="69">
        <v>0.36</v>
      </c>
      <c r="H5" s="70" t="s">
        <v>16</v>
      </c>
    </row>
    <row r="6" spans="1:8" x14ac:dyDescent="0.25">
      <c r="A6" s="87" t="s">
        <v>25</v>
      </c>
      <c r="B6" s="88" t="s">
        <v>26</v>
      </c>
      <c r="C6" s="89"/>
      <c r="D6" s="50" t="s">
        <v>29</v>
      </c>
      <c r="E6" s="50" t="s">
        <v>30</v>
      </c>
      <c r="F6" s="51">
        <v>0.3</v>
      </c>
      <c r="G6" s="51">
        <v>0.36</v>
      </c>
      <c r="H6" s="52" t="s">
        <v>16</v>
      </c>
    </row>
    <row r="7" spans="1:8" x14ac:dyDescent="0.25">
      <c r="A7" s="71" t="s">
        <v>31</v>
      </c>
      <c r="B7" s="63"/>
      <c r="C7" s="63"/>
      <c r="D7" s="63" t="s">
        <v>27</v>
      </c>
      <c r="E7" s="63" t="s">
        <v>28</v>
      </c>
      <c r="F7" s="64">
        <v>0.7</v>
      </c>
      <c r="G7" s="64">
        <v>0.77</v>
      </c>
      <c r="H7" s="65" t="s">
        <v>15</v>
      </c>
    </row>
    <row r="8" spans="1:8" x14ac:dyDescent="0.25">
      <c r="A8" s="72" t="s">
        <v>32</v>
      </c>
      <c r="B8" s="73" t="s">
        <v>33</v>
      </c>
      <c r="C8" s="73"/>
      <c r="D8" s="68" t="s">
        <v>27</v>
      </c>
      <c r="E8" s="68" t="s">
        <v>28</v>
      </c>
      <c r="F8" s="69">
        <v>0.7</v>
      </c>
      <c r="G8" s="69">
        <v>0.77</v>
      </c>
      <c r="H8" s="70" t="s">
        <v>15</v>
      </c>
    </row>
    <row r="9" spans="1:8" x14ac:dyDescent="0.25">
      <c r="A9" s="126" t="s">
        <v>34</v>
      </c>
      <c r="B9" s="127" t="s">
        <v>35</v>
      </c>
      <c r="C9" s="127"/>
      <c r="D9" s="128" t="s">
        <v>27</v>
      </c>
      <c r="E9" s="128" t="s">
        <v>28</v>
      </c>
      <c r="F9" s="129">
        <v>0.7</v>
      </c>
      <c r="G9" s="129">
        <v>0.77</v>
      </c>
      <c r="H9" s="130" t="s">
        <v>15</v>
      </c>
    </row>
    <row r="10" spans="1:8" x14ac:dyDescent="0.25">
      <c r="A10" s="72" t="s">
        <v>36</v>
      </c>
      <c r="B10" s="73" t="s">
        <v>37</v>
      </c>
      <c r="C10" s="73"/>
      <c r="D10" s="68" t="s">
        <v>27</v>
      </c>
      <c r="E10" s="68" t="s">
        <v>28</v>
      </c>
      <c r="F10" s="69">
        <v>0.7</v>
      </c>
      <c r="G10" s="69">
        <v>0.77</v>
      </c>
      <c r="H10" s="70" t="s">
        <v>15</v>
      </c>
    </row>
    <row r="11" spans="1:8" x14ac:dyDescent="0.25">
      <c r="A11" s="72" t="s">
        <v>38</v>
      </c>
      <c r="B11" s="73" t="s">
        <v>39</v>
      </c>
      <c r="C11" s="73"/>
      <c r="D11" s="68" t="s">
        <v>27</v>
      </c>
      <c r="E11" s="68" t="s">
        <v>28</v>
      </c>
      <c r="F11" s="69">
        <v>0.7</v>
      </c>
      <c r="G11" s="69">
        <v>0.77</v>
      </c>
      <c r="H11" s="70" t="s">
        <v>15</v>
      </c>
    </row>
    <row r="12" spans="1:8" x14ac:dyDescent="0.25">
      <c r="A12" s="74" t="s">
        <v>40</v>
      </c>
      <c r="B12" s="75" t="s">
        <v>39</v>
      </c>
      <c r="C12" s="75"/>
      <c r="D12" s="76" t="s">
        <v>27</v>
      </c>
      <c r="E12" s="76" t="s">
        <v>28</v>
      </c>
      <c r="F12" s="77">
        <v>0.7</v>
      </c>
      <c r="G12" s="77">
        <v>0.77</v>
      </c>
      <c r="H12" s="78" t="s">
        <v>15</v>
      </c>
    </row>
    <row r="13" spans="1:8" x14ac:dyDescent="0.25">
      <c r="A13" s="71" t="s">
        <v>41</v>
      </c>
      <c r="B13" s="63"/>
      <c r="C13" s="63"/>
      <c r="D13" s="63" t="s">
        <v>29</v>
      </c>
      <c r="E13" s="63" t="s">
        <v>30</v>
      </c>
      <c r="F13" s="64">
        <v>0.3</v>
      </c>
      <c r="G13" s="64">
        <v>0.36</v>
      </c>
      <c r="H13" s="65" t="s">
        <v>16</v>
      </c>
    </row>
    <row r="14" spans="1:8" x14ac:dyDescent="0.25">
      <c r="A14" s="72" t="s">
        <v>42</v>
      </c>
      <c r="B14" s="73" t="s">
        <v>43</v>
      </c>
      <c r="C14" s="73"/>
      <c r="D14" s="68" t="s">
        <v>29</v>
      </c>
      <c r="E14" s="68" t="s">
        <v>30</v>
      </c>
      <c r="F14" s="69">
        <v>0.3</v>
      </c>
      <c r="G14" s="69">
        <v>0.36</v>
      </c>
      <c r="H14" s="70" t="s">
        <v>16</v>
      </c>
    </row>
    <row r="15" spans="1:8" x14ac:dyDescent="0.25">
      <c r="A15" s="93" t="s">
        <v>44</v>
      </c>
      <c r="B15" s="45" t="s">
        <v>80</v>
      </c>
      <c r="C15" s="94"/>
      <c r="D15" s="54" t="s">
        <v>29</v>
      </c>
      <c r="E15" s="54" t="s">
        <v>30</v>
      </c>
      <c r="F15" s="95">
        <v>0.3</v>
      </c>
      <c r="G15" s="95">
        <v>0.36</v>
      </c>
      <c r="H15" s="55" t="s">
        <v>16</v>
      </c>
    </row>
    <row r="16" spans="1:8" x14ac:dyDescent="0.25">
      <c r="A16" s="72" t="s">
        <v>45</v>
      </c>
      <c r="B16" s="73" t="s">
        <v>46</v>
      </c>
      <c r="C16" s="73"/>
      <c r="D16" s="68" t="s">
        <v>29</v>
      </c>
      <c r="E16" s="68" t="s">
        <v>30</v>
      </c>
      <c r="F16" s="69">
        <v>0.3</v>
      </c>
      <c r="G16" s="69">
        <v>0.36</v>
      </c>
      <c r="H16" s="70" t="s">
        <v>16</v>
      </c>
    </row>
    <row r="17" spans="1:8" x14ac:dyDescent="0.25">
      <c r="A17" s="74" t="s">
        <v>47</v>
      </c>
      <c r="B17" s="75" t="s">
        <v>48</v>
      </c>
      <c r="C17" s="75"/>
      <c r="D17" s="76" t="s">
        <v>29</v>
      </c>
      <c r="E17" s="76" t="s">
        <v>30</v>
      </c>
      <c r="F17" s="77">
        <v>0.3</v>
      </c>
      <c r="G17" s="77">
        <v>0.36</v>
      </c>
      <c r="H17" s="78" t="s">
        <v>16</v>
      </c>
    </row>
    <row r="18" spans="1:8" x14ac:dyDescent="0.25">
      <c r="A18" s="79" t="s">
        <v>49</v>
      </c>
      <c r="B18" s="80"/>
      <c r="C18" s="44"/>
      <c r="D18" s="63" t="s">
        <v>29</v>
      </c>
      <c r="E18" s="63" t="s">
        <v>30</v>
      </c>
      <c r="F18" s="64">
        <v>0.15</v>
      </c>
      <c r="G18" s="64">
        <v>0.18</v>
      </c>
      <c r="H18" s="65" t="s">
        <v>16</v>
      </c>
    </row>
    <row r="19" spans="1:8" x14ac:dyDescent="0.25">
      <c r="A19" s="81" t="s">
        <v>50</v>
      </c>
      <c r="B19" s="67" t="s">
        <v>51</v>
      </c>
      <c r="C19" s="82"/>
      <c r="D19" s="68" t="s">
        <v>29</v>
      </c>
      <c r="E19" s="68" t="s">
        <v>30</v>
      </c>
      <c r="F19" s="69">
        <v>0.15</v>
      </c>
      <c r="G19" s="69">
        <v>0.18</v>
      </c>
      <c r="H19" s="70" t="s">
        <v>16</v>
      </c>
    </row>
    <row r="20" spans="1:8" x14ac:dyDescent="0.25">
      <c r="A20" s="96" t="s">
        <v>52</v>
      </c>
      <c r="B20" s="88" t="s">
        <v>53</v>
      </c>
      <c r="C20" s="97"/>
      <c r="D20" s="50" t="s">
        <v>29</v>
      </c>
      <c r="E20" s="50" t="s">
        <v>30</v>
      </c>
      <c r="F20" s="51">
        <v>0.15</v>
      </c>
      <c r="G20" s="51">
        <v>0.18</v>
      </c>
      <c r="H20" s="52" t="s">
        <v>16</v>
      </c>
    </row>
    <row r="21" spans="1:8" x14ac:dyDescent="0.25">
      <c r="A21" s="79" t="s">
        <v>60</v>
      </c>
      <c r="B21" s="100"/>
      <c r="C21" s="44"/>
      <c r="D21" s="63" t="s">
        <v>27</v>
      </c>
      <c r="E21" s="63" t="s">
        <v>28</v>
      </c>
      <c r="F21" s="64">
        <v>0.7</v>
      </c>
      <c r="G21" s="64">
        <v>0.77</v>
      </c>
      <c r="H21" s="65" t="s">
        <v>16</v>
      </c>
    </row>
    <row r="22" spans="1:8" x14ac:dyDescent="0.25">
      <c r="A22" s="81" t="s">
        <v>61</v>
      </c>
      <c r="B22" s="67" t="s">
        <v>62</v>
      </c>
      <c r="C22" s="82"/>
      <c r="D22" s="68" t="s">
        <v>27</v>
      </c>
      <c r="E22" s="68" t="s">
        <v>28</v>
      </c>
      <c r="F22" s="69">
        <v>0.7</v>
      </c>
      <c r="G22" s="69">
        <v>0.77</v>
      </c>
      <c r="H22" s="70" t="s">
        <v>16</v>
      </c>
    </row>
    <row r="23" spans="1:8" x14ac:dyDescent="0.25">
      <c r="A23" s="98" t="s">
        <v>63</v>
      </c>
      <c r="B23" s="45" t="s">
        <v>62</v>
      </c>
      <c r="C23" s="99"/>
      <c r="D23" s="54" t="s">
        <v>27</v>
      </c>
      <c r="E23" s="54" t="s">
        <v>28</v>
      </c>
      <c r="F23" s="95">
        <v>0.7</v>
      </c>
      <c r="G23" s="95">
        <v>0.77</v>
      </c>
      <c r="H23" s="55" t="s">
        <v>16</v>
      </c>
    </row>
    <row r="24" spans="1:8" x14ac:dyDescent="0.25">
      <c r="A24" s="79" t="s">
        <v>58</v>
      </c>
      <c r="B24" s="80"/>
      <c r="C24" s="44"/>
      <c r="D24" s="63" t="s">
        <v>27</v>
      </c>
      <c r="E24" s="63" t="s">
        <v>28</v>
      </c>
      <c r="F24" s="64">
        <v>2.4</v>
      </c>
      <c r="G24" s="64">
        <v>2.65</v>
      </c>
      <c r="H24" s="65" t="s">
        <v>15</v>
      </c>
    </row>
    <row r="25" spans="1:8" x14ac:dyDescent="0.25">
      <c r="A25" s="81" t="s">
        <v>54</v>
      </c>
      <c r="B25" s="67" t="s">
        <v>55</v>
      </c>
      <c r="C25" s="82"/>
      <c r="D25" s="68" t="s">
        <v>27</v>
      </c>
      <c r="E25" s="68" t="s">
        <v>28</v>
      </c>
      <c r="F25" s="69">
        <v>2.4</v>
      </c>
      <c r="G25" s="69">
        <v>2.65</v>
      </c>
      <c r="H25" s="70" t="s">
        <v>15</v>
      </c>
    </row>
    <row r="26" spans="1:8" x14ac:dyDescent="0.25">
      <c r="A26" s="131" t="s">
        <v>56</v>
      </c>
      <c r="B26" s="122" t="s">
        <v>57</v>
      </c>
      <c r="C26" s="132"/>
      <c r="D26" s="123" t="s">
        <v>27</v>
      </c>
      <c r="E26" s="123" t="s">
        <v>28</v>
      </c>
      <c r="F26" s="124">
        <v>2.4</v>
      </c>
      <c r="G26" s="124">
        <v>2.65</v>
      </c>
      <c r="H26" s="125" t="s">
        <v>15</v>
      </c>
    </row>
    <row r="27" spans="1:8" x14ac:dyDescent="0.25">
      <c r="A27" s="79" t="s">
        <v>59</v>
      </c>
      <c r="B27" s="80"/>
      <c r="C27" s="44"/>
      <c r="D27" s="63" t="s">
        <v>27</v>
      </c>
      <c r="E27" s="63" t="s">
        <v>28</v>
      </c>
      <c r="F27" s="64">
        <v>2.4</v>
      </c>
      <c r="G27" s="64">
        <v>2.65</v>
      </c>
      <c r="H27" s="65" t="s">
        <v>15</v>
      </c>
    </row>
    <row r="28" spans="1:8" x14ac:dyDescent="0.25">
      <c r="A28" s="81" t="s">
        <v>73</v>
      </c>
      <c r="B28" s="67" t="s">
        <v>78</v>
      </c>
      <c r="C28" s="82"/>
      <c r="D28" s="68" t="s">
        <v>27</v>
      </c>
      <c r="E28" s="68" t="s">
        <v>28</v>
      </c>
      <c r="F28" s="69">
        <v>2.4</v>
      </c>
      <c r="G28" s="69">
        <v>2.65</v>
      </c>
      <c r="H28" s="70" t="s">
        <v>15</v>
      </c>
    </row>
    <row r="29" spans="1:8" x14ac:dyDescent="0.25">
      <c r="A29" s="131" t="s">
        <v>75</v>
      </c>
      <c r="B29" s="122" t="s">
        <v>79</v>
      </c>
      <c r="C29" s="123"/>
      <c r="D29" s="123" t="s">
        <v>27</v>
      </c>
      <c r="E29" s="123" t="s">
        <v>28</v>
      </c>
      <c r="F29" s="124">
        <v>2.4</v>
      </c>
      <c r="G29" s="124">
        <v>2.65</v>
      </c>
      <c r="H29" s="125" t="s">
        <v>15</v>
      </c>
    </row>
    <row r="30" spans="1:8" x14ac:dyDescent="0.25">
      <c r="A30" s="83" t="s">
        <v>66</v>
      </c>
      <c r="B30" s="84"/>
      <c r="C30" s="63"/>
      <c r="D30" s="63" t="s">
        <v>27</v>
      </c>
      <c r="E30" s="63" t="s">
        <v>28</v>
      </c>
      <c r="F30" s="64">
        <v>2.4</v>
      </c>
      <c r="G30" s="64">
        <v>2.65</v>
      </c>
      <c r="H30" s="65" t="s">
        <v>16</v>
      </c>
    </row>
    <row r="31" spans="1:8" x14ac:dyDescent="0.25">
      <c r="A31" s="85" t="s">
        <v>54</v>
      </c>
      <c r="B31" s="86" t="s">
        <v>71</v>
      </c>
      <c r="C31" s="73"/>
      <c r="D31" s="68" t="s">
        <v>27</v>
      </c>
      <c r="E31" s="68" t="s">
        <v>28</v>
      </c>
      <c r="F31" s="69">
        <v>2.4</v>
      </c>
      <c r="G31" s="69">
        <v>2.65</v>
      </c>
      <c r="H31" s="70" t="s">
        <v>16</v>
      </c>
    </row>
    <row r="32" spans="1:8" x14ac:dyDescent="0.25">
      <c r="A32" s="48" t="s">
        <v>56</v>
      </c>
      <c r="B32" s="49" t="s">
        <v>67</v>
      </c>
      <c r="C32" s="50"/>
      <c r="D32" s="50" t="s">
        <v>27</v>
      </c>
      <c r="E32" s="50" t="s">
        <v>28</v>
      </c>
      <c r="F32" s="51">
        <v>2.4</v>
      </c>
      <c r="G32" s="51">
        <v>2.65</v>
      </c>
      <c r="H32" s="52" t="s">
        <v>16</v>
      </c>
    </row>
    <row r="33" spans="1:12" x14ac:dyDescent="0.25">
      <c r="A33" s="83" t="s">
        <v>64</v>
      </c>
      <c r="B33" s="84"/>
      <c r="C33" s="63"/>
      <c r="D33" s="63" t="s">
        <v>27</v>
      </c>
      <c r="E33" s="63" t="s">
        <v>28</v>
      </c>
      <c r="F33" s="64">
        <v>2.4</v>
      </c>
      <c r="G33" s="64">
        <v>2.65</v>
      </c>
      <c r="H33" s="65" t="s">
        <v>15</v>
      </c>
      <c r="I33" s="43"/>
    </row>
    <row r="34" spans="1:12" x14ac:dyDescent="0.25">
      <c r="A34" s="85" t="s">
        <v>68</v>
      </c>
      <c r="B34" s="86" t="s">
        <v>69</v>
      </c>
      <c r="C34" s="68"/>
      <c r="D34" s="68" t="s">
        <v>27</v>
      </c>
      <c r="E34" s="68" t="s">
        <v>28</v>
      </c>
      <c r="F34" s="69">
        <v>2.4</v>
      </c>
      <c r="G34" s="69">
        <v>2.65</v>
      </c>
      <c r="H34" s="70" t="s">
        <v>15</v>
      </c>
      <c r="I34" s="43"/>
    </row>
    <row r="35" spans="1:12" x14ac:dyDescent="0.25">
      <c r="A35" s="133" t="s">
        <v>70</v>
      </c>
      <c r="B35" s="134" t="s">
        <v>65</v>
      </c>
      <c r="C35" s="123"/>
      <c r="D35" s="123" t="s">
        <v>27</v>
      </c>
      <c r="E35" s="123" t="s">
        <v>28</v>
      </c>
      <c r="F35" s="124">
        <v>2.4</v>
      </c>
      <c r="G35" s="124">
        <v>2.65</v>
      </c>
      <c r="H35" s="125" t="s">
        <v>15</v>
      </c>
      <c r="I35" s="43"/>
    </row>
    <row r="36" spans="1:12" x14ac:dyDescent="0.25">
      <c r="A36" s="83" t="s">
        <v>72</v>
      </c>
      <c r="B36" s="102"/>
      <c r="C36" s="63"/>
      <c r="D36" s="68" t="s">
        <v>27</v>
      </c>
      <c r="E36" s="68" t="s">
        <v>28</v>
      </c>
      <c r="F36" s="69">
        <v>2.4</v>
      </c>
      <c r="G36" s="69">
        <v>2.65</v>
      </c>
      <c r="H36" s="65" t="s">
        <v>16</v>
      </c>
    </row>
    <row r="37" spans="1:12" x14ac:dyDescent="0.25">
      <c r="A37" s="53" t="s">
        <v>73</v>
      </c>
      <c r="B37" s="46" t="s">
        <v>74</v>
      </c>
      <c r="C37" s="54"/>
      <c r="D37" s="50" t="s">
        <v>27</v>
      </c>
      <c r="E37" s="50" t="s">
        <v>28</v>
      </c>
      <c r="F37" s="51">
        <v>2.4</v>
      </c>
      <c r="G37" s="51">
        <v>2.65</v>
      </c>
      <c r="H37" s="52" t="s">
        <v>16</v>
      </c>
      <c r="I37" s="101"/>
      <c r="J37" s="47"/>
      <c r="K37" s="47"/>
      <c r="L37" s="47"/>
    </row>
    <row r="38" spans="1:12" x14ac:dyDescent="0.25">
      <c r="A38" s="135" t="s">
        <v>76</v>
      </c>
      <c r="B38" s="136"/>
      <c r="C38" s="137"/>
      <c r="D38" s="137" t="s">
        <v>27</v>
      </c>
      <c r="E38" s="137" t="s">
        <v>28</v>
      </c>
      <c r="F38" s="139">
        <v>2.4</v>
      </c>
      <c r="G38" s="139">
        <v>2.65</v>
      </c>
      <c r="H38" s="138" t="s">
        <v>15</v>
      </c>
    </row>
    <row r="39" spans="1:12" x14ac:dyDescent="0.25">
      <c r="A39" s="103" t="s">
        <v>77</v>
      </c>
      <c r="B39" s="104" t="s">
        <v>81</v>
      </c>
      <c r="C39" s="76"/>
      <c r="D39" s="76" t="s">
        <v>27</v>
      </c>
      <c r="E39" s="76" t="s">
        <v>28</v>
      </c>
      <c r="F39" s="77">
        <v>2.4</v>
      </c>
      <c r="G39" s="77">
        <v>2.65</v>
      </c>
      <c r="H39" s="78" t="s">
        <v>15</v>
      </c>
    </row>
    <row r="40" spans="1:12" x14ac:dyDescent="0.25">
      <c r="A40" s="83" t="s">
        <v>82</v>
      </c>
      <c r="B40" s="84"/>
      <c r="C40" s="63"/>
      <c r="D40" s="68" t="s">
        <v>27</v>
      </c>
      <c r="E40" s="68" t="s">
        <v>28</v>
      </c>
      <c r="F40" s="69">
        <v>2.4</v>
      </c>
      <c r="G40" s="69">
        <v>2.65</v>
      </c>
      <c r="H40" s="65" t="s">
        <v>16</v>
      </c>
    </row>
    <row r="41" spans="1:12" x14ac:dyDescent="0.25">
      <c r="A41" s="85" t="s">
        <v>68</v>
      </c>
      <c r="B41" s="86" t="s">
        <v>83</v>
      </c>
      <c r="C41" s="68"/>
      <c r="D41" s="68" t="s">
        <v>27</v>
      </c>
      <c r="E41" s="68" t="s">
        <v>28</v>
      </c>
      <c r="F41" s="69">
        <v>2.4</v>
      </c>
      <c r="G41" s="69">
        <v>2.65</v>
      </c>
      <c r="H41" s="70" t="s">
        <v>16</v>
      </c>
    </row>
    <row r="42" spans="1:12" x14ac:dyDescent="0.25">
      <c r="A42" s="85" t="s">
        <v>70</v>
      </c>
      <c r="B42" s="86" t="s">
        <v>84</v>
      </c>
      <c r="C42" s="68"/>
      <c r="D42" s="68" t="s">
        <v>27</v>
      </c>
      <c r="E42" s="68" t="s">
        <v>28</v>
      </c>
      <c r="F42" s="69">
        <v>2.4</v>
      </c>
      <c r="G42" s="69">
        <v>2.65</v>
      </c>
      <c r="H42" s="70" t="s">
        <v>16</v>
      </c>
    </row>
    <row r="43" spans="1:12" x14ac:dyDescent="0.25">
      <c r="A43" s="48" t="s">
        <v>85</v>
      </c>
      <c r="B43" s="49" t="s">
        <v>86</v>
      </c>
      <c r="C43" s="111"/>
      <c r="D43" s="50" t="s">
        <v>27</v>
      </c>
      <c r="E43" s="50" t="s">
        <v>28</v>
      </c>
      <c r="F43" s="51">
        <v>2.4</v>
      </c>
      <c r="G43" s="51">
        <v>2.65</v>
      </c>
      <c r="H43" s="52" t="s">
        <v>16</v>
      </c>
    </row>
    <row r="44" spans="1:12" x14ac:dyDescent="0.25">
      <c r="A44" s="135" t="s">
        <v>87</v>
      </c>
      <c r="B44" s="140"/>
      <c r="C44" s="137"/>
      <c r="D44" s="137" t="s">
        <v>27</v>
      </c>
      <c r="E44" s="137" t="s">
        <v>28</v>
      </c>
      <c r="F44" s="139">
        <v>0.7</v>
      </c>
      <c r="G44" s="139">
        <v>0.77</v>
      </c>
      <c r="H44" s="138" t="s">
        <v>15</v>
      </c>
    </row>
    <row r="45" spans="1:12" x14ac:dyDescent="0.25">
      <c r="A45" s="107" t="s">
        <v>88</v>
      </c>
      <c r="B45" s="108" t="s">
        <v>89</v>
      </c>
      <c r="C45" s="60"/>
      <c r="D45" s="60" t="s">
        <v>27</v>
      </c>
      <c r="E45" s="60" t="s">
        <v>28</v>
      </c>
      <c r="F45" s="261">
        <v>0.7</v>
      </c>
      <c r="G45" s="261">
        <v>0.77</v>
      </c>
      <c r="H45" s="61" t="s">
        <v>15</v>
      </c>
    </row>
    <row r="46" spans="1:12" x14ac:dyDescent="0.25">
      <c r="A46" s="109" t="s">
        <v>90</v>
      </c>
      <c r="B46" s="110" t="s">
        <v>91</v>
      </c>
      <c r="C46" s="112"/>
      <c r="D46" s="112" t="s">
        <v>27</v>
      </c>
      <c r="E46" s="112" t="s">
        <v>28</v>
      </c>
      <c r="F46" s="262">
        <v>0.7</v>
      </c>
      <c r="G46" s="262">
        <v>0.77</v>
      </c>
      <c r="H46" s="113" t="s">
        <v>15</v>
      </c>
    </row>
    <row r="47" spans="1:12" x14ac:dyDescent="0.25">
      <c r="A47" s="105" t="s">
        <v>92</v>
      </c>
      <c r="B47" s="106"/>
      <c r="C47" s="58"/>
      <c r="D47" s="58" t="s">
        <v>27</v>
      </c>
      <c r="E47" s="58" t="s">
        <v>28</v>
      </c>
      <c r="F47" s="263">
        <v>2.4</v>
      </c>
      <c r="G47" s="263">
        <v>2.65</v>
      </c>
      <c r="H47" s="59" t="s">
        <v>16</v>
      </c>
    </row>
    <row r="48" spans="1:12" x14ac:dyDescent="0.25">
      <c r="A48" s="48" t="s">
        <v>77</v>
      </c>
      <c r="B48" s="49" t="s">
        <v>81</v>
      </c>
      <c r="C48" s="111"/>
      <c r="D48" s="111" t="s">
        <v>27</v>
      </c>
      <c r="E48" s="111" t="s">
        <v>28</v>
      </c>
      <c r="F48" s="264">
        <v>2.4</v>
      </c>
      <c r="G48" s="264">
        <v>2.65</v>
      </c>
      <c r="H48" s="114" t="s">
        <v>16</v>
      </c>
    </row>
    <row r="49" spans="1:8" x14ac:dyDescent="0.25">
      <c r="A49" s="135" t="s">
        <v>93</v>
      </c>
      <c r="B49" s="140"/>
      <c r="C49" s="137"/>
      <c r="D49" s="137" t="s">
        <v>29</v>
      </c>
      <c r="E49" s="137" t="s">
        <v>30</v>
      </c>
      <c r="F49" s="139">
        <v>0.15</v>
      </c>
      <c r="G49" s="139">
        <v>0.18</v>
      </c>
      <c r="H49" s="138" t="s">
        <v>15</v>
      </c>
    </row>
    <row r="50" spans="1:8" x14ac:dyDescent="0.25">
      <c r="A50" s="109" t="s">
        <v>94</v>
      </c>
      <c r="B50" s="110" t="s">
        <v>95</v>
      </c>
      <c r="C50" s="112"/>
      <c r="D50" s="112" t="s">
        <v>29</v>
      </c>
      <c r="E50" s="112" t="s">
        <v>30</v>
      </c>
      <c r="F50" s="262">
        <v>0.15</v>
      </c>
      <c r="G50" s="262">
        <v>0.18</v>
      </c>
      <c r="H50" s="113" t="s">
        <v>15</v>
      </c>
    </row>
    <row r="51" spans="1:8" x14ac:dyDescent="0.25">
      <c r="A51" s="135" t="s">
        <v>96</v>
      </c>
      <c r="B51" s="140"/>
      <c r="C51" s="137"/>
      <c r="D51" s="137" t="s">
        <v>29</v>
      </c>
      <c r="E51" s="137" t="s">
        <v>30</v>
      </c>
      <c r="F51" s="139">
        <v>0.3</v>
      </c>
      <c r="G51" s="139">
        <v>0.36</v>
      </c>
      <c r="H51" s="138" t="s">
        <v>15</v>
      </c>
    </row>
    <row r="52" spans="1:8" x14ac:dyDescent="0.25">
      <c r="A52" s="117" t="s">
        <v>97</v>
      </c>
      <c r="B52" s="118"/>
      <c r="C52" s="119"/>
      <c r="D52" s="119"/>
      <c r="E52" s="119"/>
      <c r="F52" s="119"/>
      <c r="G52" s="119"/>
      <c r="H52" s="120" t="s">
        <v>16</v>
      </c>
    </row>
    <row r="53" spans="1:8" x14ac:dyDescent="0.25">
      <c r="A53" s="56" t="s">
        <v>98</v>
      </c>
      <c r="B53" s="57" t="s">
        <v>98</v>
      </c>
      <c r="C53" s="115"/>
      <c r="D53" s="115"/>
      <c r="E53" s="115"/>
      <c r="F53" s="115"/>
      <c r="G53" s="115"/>
      <c r="H53" s="116" t="s">
        <v>16</v>
      </c>
    </row>
    <row r="54" spans="1:8" x14ac:dyDescent="0.25">
      <c r="A54" s="105" t="s">
        <v>99</v>
      </c>
      <c r="B54" s="106"/>
      <c r="C54" s="58"/>
      <c r="D54" s="58" t="s">
        <v>29</v>
      </c>
      <c r="E54" s="58" t="s">
        <v>30</v>
      </c>
      <c r="F54" s="263">
        <v>0.6</v>
      </c>
      <c r="G54" s="263">
        <v>0.72</v>
      </c>
      <c r="H54" s="59" t="s">
        <v>15</v>
      </c>
    </row>
    <row r="55" spans="1:8" x14ac:dyDescent="0.25">
      <c r="A55" s="141" t="s">
        <v>100</v>
      </c>
      <c r="B55" s="142" t="s">
        <v>101</v>
      </c>
      <c r="C55" s="128"/>
      <c r="D55" s="128" t="s">
        <v>29</v>
      </c>
      <c r="E55" s="128" t="s">
        <v>30</v>
      </c>
      <c r="F55" s="129">
        <v>0.6</v>
      </c>
      <c r="G55" s="129">
        <v>0.72</v>
      </c>
      <c r="H55" s="130" t="s">
        <v>15</v>
      </c>
    </row>
    <row r="56" spans="1:8" x14ac:dyDescent="0.25">
      <c r="A56" s="109" t="s">
        <v>102</v>
      </c>
      <c r="B56" s="110" t="s">
        <v>103</v>
      </c>
      <c r="C56" s="112"/>
      <c r="D56" s="112" t="s">
        <v>29</v>
      </c>
      <c r="E56" s="112" t="s">
        <v>30</v>
      </c>
      <c r="F56" s="262">
        <v>0.6</v>
      </c>
      <c r="G56" s="262">
        <v>0.72</v>
      </c>
      <c r="H56" s="113" t="s">
        <v>15</v>
      </c>
    </row>
  </sheetData>
  <autoFilter ref="H1:H56" xr:uid="{00000000-0009-0000-0000-00000E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9"/>
  <sheetViews>
    <sheetView topLeftCell="A17" zoomScaleNormal="100" workbookViewId="0">
      <selection activeCell="Q56" sqref="Q56"/>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c r="D5" s="41"/>
      <c r="E5" s="12"/>
      <c r="F5" s="12"/>
      <c r="G5" s="13"/>
      <c r="H5" s="14"/>
      <c r="I5" s="14" t="s">
        <v>4</v>
      </c>
      <c r="J5" s="15">
        <f ca="1" xml:space="preserve"> TODAY()</f>
        <v>46036</v>
      </c>
    </row>
    <row r="6" spans="1:10" ht="6" customHeight="1" x14ac:dyDescent="0.2">
      <c r="A6" s="11"/>
      <c r="B6" s="11"/>
      <c r="C6" s="16"/>
      <c r="D6" s="16"/>
      <c r="E6" s="12"/>
      <c r="F6" s="12"/>
      <c r="G6" s="13"/>
      <c r="H6" s="14"/>
      <c r="I6" s="14"/>
      <c r="J6" s="15"/>
    </row>
    <row r="7" spans="1:10" x14ac:dyDescent="0.2">
      <c r="A7" s="11" t="s">
        <v>3</v>
      </c>
      <c r="B7" s="11"/>
      <c r="C7" s="298">
        <f>Instructions!P5</f>
        <v>0</v>
      </c>
      <c r="D7" s="298"/>
      <c r="E7" s="298"/>
      <c r="F7" s="298"/>
      <c r="G7" s="298"/>
      <c r="H7" s="145"/>
      <c r="I7" s="145" t="s">
        <v>104</v>
      </c>
      <c r="J7" s="1" t="s">
        <v>5</v>
      </c>
    </row>
    <row r="8" spans="1:10" ht="6" customHeight="1" x14ac:dyDescent="0.2">
      <c r="A8" s="11"/>
      <c r="B8" s="11"/>
      <c r="C8" s="16"/>
      <c r="D8" s="16"/>
      <c r="E8" s="16"/>
      <c r="F8" s="16"/>
      <c r="G8" s="16"/>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188"/>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IFERROR(VLOOKUP(C15,inputSchA!$A$2:$F$188,6,FALSE),"")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IFERROR(VLOOKUP(C17,inputSchA!$A$2:$F$188,6,FALSE),"")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IFERROR(VLOOKUP(C19,inputSchA!$A$2:$F$188,6,FALSE),"")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IFERROR(VLOOKUP(C21,inputSchA!$A$2:$F$188,6,FALSE),"")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IFERROR(VLOOKUP(C23,inputSchA!$A$2:$F$188,6,FALSE),"")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IFERROR(VLOOKUP(C25,inputSchA!$A$2:$F$188,6,FALSE),"")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IFERROR(VLOOKUP(C40,inputSchA!$A$2:$F$188,6,FALSE),"")</f>
        <v/>
      </c>
      <c r="I40" s="287"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IFERROR(VLOOKUP(C42,inputSchA!$A$2:$F$188,6,FALSE),"")</f>
        <v/>
      </c>
      <c r="I42" s="287"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IFERROR(VLOOKUP(C44,inputSchA!$A$2:$F$188,6,FALSE),"")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IFERROR(VLOOKUP(C46,inputSchA!$A$2:$F$188,6,FALSE),"")</f>
        <v/>
      </c>
      <c r="I46" s="287" t="str">
        <f>IFERROR(H46/G46,"")</f>
        <v/>
      </c>
      <c r="J46" s="281" t="str">
        <f>IF(AND(ISNUMBER(E46),ISNUMBER(H46)),IF(E46*H46&gt;=1000,(E46*H46),"-"),"-")</f>
        <v>-</v>
      </c>
    </row>
    <row r="47" spans="1:10" x14ac:dyDescent="0.2">
      <c r="A47" s="295" t="s">
        <v>7</v>
      </c>
      <c r="B47" s="295"/>
      <c r="C47" s="295"/>
      <c r="D47" s="295"/>
      <c r="E47" s="295"/>
      <c r="F47" s="295"/>
      <c r="G47" s="295"/>
      <c r="H47" s="295"/>
      <c r="I47" s="235"/>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35"/>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7"/>
    </row>
    <row r="79" spans="1:10" ht="10.5" customHeight="1" x14ac:dyDescent="0.2">
      <c r="A79" s="39"/>
      <c r="B79" s="39"/>
      <c r="C79" s="280" t="s">
        <v>458</v>
      </c>
      <c r="D79" s="40"/>
      <c r="E79" s="8"/>
      <c r="F79" s="8"/>
      <c r="G79" s="9"/>
      <c r="H79" s="9"/>
      <c r="I79" s="9"/>
      <c r="J79" s="187" t="str">
        <f>Instructions!M11</f>
        <v>EFL-TM-ESS-01(13)</v>
      </c>
    </row>
  </sheetData>
  <dataConsolidate/>
  <mergeCells count="11">
    <mergeCell ref="A60:H60"/>
    <mergeCell ref="A1:J1"/>
    <mergeCell ref="A51:J51"/>
    <mergeCell ref="C7:G7"/>
    <mergeCell ref="A27:J27"/>
    <mergeCell ref="A50:J50"/>
    <mergeCell ref="A47:H47"/>
    <mergeCell ref="A12:J12"/>
    <mergeCell ref="A28:J28"/>
    <mergeCell ref="A36:J36"/>
    <mergeCell ref="A37:J37"/>
  </mergeCells>
  <conditionalFormatting sqref="H15">
    <cfRule type="expression" dxfId="62" priority="24">
      <formula>AND($H15=0,$E15&gt;0)=TRUE</formula>
    </cfRule>
  </conditionalFormatting>
  <conditionalFormatting sqref="H17">
    <cfRule type="expression" dxfId="61" priority="10">
      <formula>AND($H17=0,$E17&gt;0)=TRUE</formula>
    </cfRule>
  </conditionalFormatting>
  <conditionalFormatting sqref="H19">
    <cfRule type="expression" dxfId="60" priority="9">
      <formula>AND($H19=0,$E19&gt;0)=TRUE</formula>
    </cfRule>
  </conditionalFormatting>
  <conditionalFormatting sqref="H21">
    <cfRule type="expression" dxfId="59" priority="8">
      <formula>AND($H21=0,$E21&gt;0)=TRUE</formula>
    </cfRule>
  </conditionalFormatting>
  <conditionalFormatting sqref="H23">
    <cfRule type="expression" dxfId="58" priority="7">
      <formula>AND($H23=0,$E23&gt;0)=TRUE</formula>
    </cfRule>
  </conditionalFormatting>
  <conditionalFormatting sqref="H25">
    <cfRule type="expression" dxfId="57" priority="6">
      <formula>AND($H25=0,$E25&gt;0)=TRUE</formula>
    </cfRule>
  </conditionalFormatting>
  <conditionalFormatting sqref="H40">
    <cfRule type="expression" dxfId="56" priority="1">
      <formula>AND($H40=0,$E40&gt;0)=TRUE</formula>
    </cfRule>
  </conditionalFormatting>
  <conditionalFormatting sqref="H42">
    <cfRule type="expression" dxfId="55" priority="3">
      <formula>AND($H42=0,$E42&gt;0)=TRUE</formula>
    </cfRule>
  </conditionalFormatting>
  <conditionalFormatting sqref="H44">
    <cfRule type="expression" dxfId="54" priority="12">
      <formula>AND($H44=0,$E44&gt;0)=TRUE</formula>
    </cfRule>
  </conditionalFormatting>
  <conditionalFormatting sqref="H46">
    <cfRule type="expression" dxfId="53" priority="11">
      <formula>AND($H46=0,$E46&gt;0)=TRUE</formula>
    </cfRule>
  </conditionalFormatting>
  <dataValidations xWindow="885" yWindow="630" count="9">
    <dataValidation type="whole" operator="greaterThanOrEqual" allowBlank="1" showInputMessage="1" showErrorMessage="1" error="Bid decimals set to zero._x000a__x000a_Contact Heidi Hirsbrunner (X3622)_x000a_                _x000a_to modify Incentive Spreadsheet." sqref="E31 E33:E35 E40:E42 E44:E46" xr:uid="{00000000-0002-0000-0100-000007000000}">
      <formula1>0</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00000000-0002-0000-0100-000008000000}">
      <formula1>"  , A, B, C, D, E, F, G, W, X, Y, Z"</formula1>
    </dataValidation>
    <dataValidation type="list" allowBlank="1" showInputMessage="1" showErrorMessage="1" error="Please use the drop-down menu to select the project units" promptTitle="Select Units" prompt="Select Metric or US Customary" sqref="J9" xr:uid="{00000000-0002-0000-0100-000009000000}">
      <formula1>"METRIC, US CUSTOMARY"</formula1>
    </dataValidation>
    <dataValidation allowBlank="1" showInputMessage="1" showErrorMessage="1" error="Please use the drop-down menu to select the FP version" promptTitle="Select FP Version" prompt="In &quot;Instructions&quot; Tab" sqref="E3" xr:uid="{00000000-0002-0000-0100-00000A000000}"/>
    <dataValidation allowBlank="1" showErrorMessage="1" promptTitle="Enter project number" prompt="Example:  CA FTNP JOTR 11(5)" sqref="C5:D5" xr:uid="{00000000-0002-0000-0100-00000B000000}"/>
    <dataValidation allowBlank="1" showErrorMessage="1" promptTitle="Enter project name" prompt="Example:  Pinto Basin Road" sqref="C7:G7" xr:uid="{00000000-0002-0000-0100-00000C000000}"/>
    <dataValidation type="list" allowBlank="1" showInputMessage="1" showErrorMessage="1" promptTitle="Select Schedule Type " prompt="Select Schedule or Option " sqref="I7" xr:uid="{00000000-0002-0000-0100-00000D000000}">
      <formula1>", Schedule: , Option: "</formula1>
    </dataValidation>
    <dataValidation type="list" allowBlank="1" showErrorMessage="1" promptTitle="Select Schedule Type " prompt="Select Schedule or Option " sqref="H7" xr:uid="{00000000-0002-0000-0100-00000F000000}">
      <formula1>", Schedule: , Option: "</formula1>
    </dataValidation>
    <dataValidation allowBlank="1" showInputMessage="1" showErrorMessage="1" prompt="If your Q_Ton unit price is highlighted in red, ensure quantity and unit price have both been entered, then check the line item in the &quot;inputSchA&quot; tab to review further instructions. " sqref="H15 H46 H17 H19 H21 H23 H25 H44 H42 H40" xr:uid="{00000000-0002-0000-0100-000010000000}"/>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xWindow="885" yWindow="630" count="5">
        <x14:dataValidation type="list" allowBlank="1" showInputMessage="1" showErrorMessage="1" xr:uid="{00000000-0002-0000-0100-000011000000}">
          <x14:formula1>
            <xm:f>inputSchA!$A$144:$A$172</xm:f>
          </x14:formula1>
          <xm:sqref>C41</xm:sqref>
        </x14:dataValidation>
        <x14:dataValidation type="list" allowBlank="1" showInputMessage="1" showErrorMessage="1" xr:uid="{953E3207-2359-4BD0-BC11-E72831B5A499}">
          <x14:formula1>
            <xm:f>inputSchA!$A$142:$A$142</xm:f>
          </x14:formula1>
          <xm:sqref>C45</xm:sqref>
        </x14:dataValidation>
        <x14:dataValidation type="list" allowBlank="1" showInputMessage="1" showErrorMessage="1" xr:uid="{CDA2EA24-A192-4CA3-AB12-18455EEA97E5}">
          <x14:formula1>
            <xm:f>inputSchA!$A$144:$A$188</xm:f>
          </x14:formula1>
          <xm:sqref>A54 C35 C33 A58 A56 C31</xm:sqref>
        </x14:dataValidation>
        <x14:dataValidation type="list" allowBlank="1" showInputMessage="1" showErrorMessage="1" prompt="For FP-24 Projects, select applicable 404 pay item from the list_x000a_For FP-14 Projects, select pay item 43101-0000 or 43102-0000 from the list" xr:uid="{4BAF07F7-B7F2-4219-95BE-5F450417D095}">
          <x14:formula1>
            <xm:f>inputSchA!$A$136:$A$143</xm:f>
          </x14:formula1>
          <xm:sqref>C46 C40 C42 C44</xm:sqref>
        </x14:dataValidation>
        <x14:dataValidation type="list" allowBlank="1" showInputMessage="1" showErrorMessage="1" xr:uid="{2796FD65-A021-48FD-A6B6-E0085422EFF0}">
          <x14:formula1>
            <xm:f>inputSchA!$A$2:$A$143</xm:f>
          </x14:formula1>
          <xm:sqref>C15 C17 C19 C21 C23 C25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8"/>
  <sheetViews>
    <sheetView workbookViewId="0">
      <pane xSplit="3" ySplit="1" topLeftCell="D65" activePane="bottomRight" state="frozen"/>
      <selection activeCell="T35" sqref="T35"/>
      <selection pane="topRight" activeCell="T35" sqref="T35"/>
      <selection pane="bottomLeft" activeCell="T35" sqref="T35"/>
      <selection pane="bottomRight" activeCell="P111" sqref="P111"/>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A'!$C$15:$E$58,3,FALSE),"")</f>
        <v/>
      </c>
      <c r="E2" s="238" t="str">
        <f>IFERROR(VLOOKUP($A2,'SCH A'!$C$15:$G$58,5,FALSE),"")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A'!$C$15:$E$58,3,FALSE),"")</f>
        <v/>
      </c>
      <c r="E3" s="238" t="str">
        <f>IFERROR(VLOOKUP($A3,'SCH A'!$C$15:$G$58,5,FALSE),"")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A'!$C$15:$E$58,3,FALSE),"")</f>
        <v/>
      </c>
      <c r="E4" s="238" t="str">
        <f>IFERROR(VLOOKUP($A4,'SCH A'!$C$15:$G$58,5,FALSE),"")</f>
        <v/>
      </c>
      <c r="F4" s="26" t="e">
        <f t="shared" si="0"/>
        <v>#VALUE!</v>
      </c>
    </row>
    <row r="5" spans="1:6" x14ac:dyDescent="0.25">
      <c r="A5" s="205" t="s">
        <v>146</v>
      </c>
      <c r="B5" s="205" t="s">
        <v>200</v>
      </c>
      <c r="C5" s="207" t="s">
        <v>197</v>
      </c>
      <c r="D5" s="223" t="str">
        <f>IFERROR(VLOOKUP($A5,'SCH A'!$C$15:$E$58,3,FALSE),"")</f>
        <v/>
      </c>
      <c r="E5" s="238" t="str">
        <f>IFERROR(VLOOKUP($A5,'SCH A'!$C$15:$G$58,5,FALSE),"")</f>
        <v/>
      </c>
      <c r="F5" s="26" t="e">
        <f t="shared" si="0"/>
        <v>#VALUE!</v>
      </c>
    </row>
    <row r="6" spans="1:6" x14ac:dyDescent="0.25">
      <c r="A6" s="204" t="s">
        <v>147</v>
      </c>
      <c r="B6" s="204" t="s">
        <v>201</v>
      </c>
      <c r="C6" s="206" t="s">
        <v>197</v>
      </c>
      <c r="D6" s="223" t="str">
        <f>IFERROR(VLOOKUP($A6,'SCH A'!$C$15:$E$58,3,FALSE),"")</f>
        <v/>
      </c>
      <c r="E6" s="238" t="str">
        <f>IFERROR(VLOOKUP($A6,'SCH A'!$C$15:$G$58,5,FALSE),"")</f>
        <v/>
      </c>
      <c r="F6" s="26" t="e">
        <f t="shared" si="0"/>
        <v>#VALUE!</v>
      </c>
    </row>
    <row r="7" spans="1:6" x14ac:dyDescent="0.25">
      <c r="A7" s="205" t="s">
        <v>148</v>
      </c>
      <c r="B7" s="205" t="s">
        <v>196</v>
      </c>
      <c r="C7" s="207" t="s">
        <v>29</v>
      </c>
      <c r="D7" s="223" t="str">
        <f>IFERROR(VLOOKUP($A7,'SCH A'!$C$15:$E$58,3,FALSE),"")</f>
        <v/>
      </c>
      <c r="E7" s="238" t="str">
        <f>IFERROR(VLOOKUP($A7,'SCH A'!$C$15:$G$58,5,FALSE),"")</f>
        <v/>
      </c>
      <c r="F7" s="26" t="e">
        <f>IF(AND(D7&gt;=9523.81,D7&lt;19047.62),ROUND(E7*0.01,2),IF(AND(D7&gt;=19047.62,D7&lt;22222.22),ROUND(E7*0.03,2),IF(AND(D7&gt;=22222.22,D7&lt;25396.83),ROUND(E7*0.04,2),IF(AND(D7&gt;=25396.83),ROUND(E7*0.05,2),"-"))))</f>
        <v>#VALUE!</v>
      </c>
    </row>
    <row r="8" spans="1:6" x14ac:dyDescent="0.25">
      <c r="A8" s="204" t="s">
        <v>149</v>
      </c>
      <c r="B8" s="204" t="s">
        <v>202</v>
      </c>
      <c r="C8" s="206" t="s">
        <v>29</v>
      </c>
      <c r="D8" s="223" t="str">
        <f>IFERROR(VLOOKUP($A8,'SCH A'!$C$15:$E$58,3,FALSE),"")</f>
        <v/>
      </c>
      <c r="E8" s="238" t="str">
        <f>IFERROR(VLOOKUP($A8,'SCH A'!$C$15:$G$58,5,FALSE),"")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A'!$C$15:$E$58,3,FALSE),"")</f>
        <v/>
      </c>
      <c r="E9" s="238" t="str">
        <f>IFERROR(VLOOKUP($A9,'SCH A'!$C$15:$G$58,5,FALSE),"")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A'!$C$15:$E$58,3,FALSE),"")</f>
        <v/>
      </c>
      <c r="E10" s="238" t="str">
        <f>IFERROR(VLOOKUP($A10,'SCH A'!$C$15:$G$58,5,FALSE),"")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A'!$C$15:$E$58,3,FALSE),"")</f>
        <v/>
      </c>
      <c r="E11" s="238" t="str">
        <f>IFERROR(VLOOKUP($A11,'SCH A'!$C$15:$G$58,5,FALSE),"")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A'!$C$15:$E$58,3,FALSE),"")</f>
        <v/>
      </c>
      <c r="E12" s="238" t="str">
        <f>IFERROR(VLOOKUP($A12,'SCH A'!$C$15:$G$58,5,FALSE),"")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A'!$C$15:$E$58,3,FALSE),"")</f>
        <v/>
      </c>
      <c r="E13" s="238" t="str">
        <f>IFERROR(VLOOKUP($A13,'SCH A'!$C$15:$G$58,5,FALSE),"")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A'!$C$15:$E$58,3,FALSE),"")</f>
        <v/>
      </c>
      <c r="E14" s="238" t="str">
        <f>IFERROR(VLOOKUP($A14,'SCH A'!$C$15:$G$58,5,FALSE),"")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A'!$C$15:$E$58,3,FALSE),"")</f>
        <v/>
      </c>
      <c r="E15" s="238" t="str">
        <f>IFERROR(VLOOKUP($A15,'SCH A'!$C$15:$G$58,5,FALSE),"")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A'!$C$15:$E$58,3,FALSE),"")</f>
        <v/>
      </c>
      <c r="E16" s="238" t="str">
        <f>IFERROR(VLOOKUP($A16,'SCH A'!$C$15:$G$58,5,FALSE),"")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A'!$C$15:$E$58,3,FALSE),"")</f>
        <v/>
      </c>
      <c r="E17" s="238" t="str">
        <f>IFERROR(VLOOKUP($A17,'SCH A'!$C$15:$G$58,5,FALSE),"")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A'!$C$15:$E$58,3,FALSE),"")</f>
        <v/>
      </c>
      <c r="E18" s="238" t="str">
        <f>IFERROR(VLOOKUP($A18,'SCH A'!$C$15:$G$58,5,FALSE),"")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A'!$C$15:$E$58,3,FALSE),"")</f>
        <v/>
      </c>
      <c r="E19" s="238" t="str">
        <f>IFERROR(VLOOKUP($A19,'SCH A'!$C$15:$G$58,5,FALSE),"")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A'!$C$15:$E$58,3,FALSE),"")</f>
        <v/>
      </c>
      <c r="E20" s="238" t="str">
        <f>IFERROR(VLOOKUP($A20,'SCH A'!$C$15:$G$58,5,FALSE),"")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A'!$C$15:$E$58,3,FALSE),"")</f>
        <v/>
      </c>
      <c r="E21" s="238" t="str">
        <f>IFERROR(VLOOKUP($A21,'SCH A'!$C$15:$G$58,5,FALSE),"")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A'!$C$15:$E$58,3,FALSE),"")</f>
        <v/>
      </c>
      <c r="E22" s="238" t="str">
        <f>IFERROR(VLOOKUP($A22,'SCH A'!$C$15:$G$58,5,FALSE),"")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A'!$C$15:$E$58,3,FALSE),"")</f>
        <v/>
      </c>
      <c r="E23" s="238" t="str">
        <f>IFERROR(VLOOKUP($A23,'SCH A'!$C$15:$G$58,5,FALSE),"")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A'!$C$15:$E$58,3,FALSE),"")</f>
        <v/>
      </c>
      <c r="E24" s="238" t="str">
        <f>IFERROR(VLOOKUP($A24,'SCH A'!$C$15:$G$58,5,FALSE),"")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A'!$C$15:$E$58,3,FALSE),"")</f>
        <v/>
      </c>
      <c r="E25" s="238" t="str">
        <f>IFERROR(VLOOKUP($A25,'SCH A'!$C$15:$G$58,5,FALSE),"")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A'!$C$15:$E$58,3,FALSE),"")</f>
        <v/>
      </c>
      <c r="E26" s="238" t="str">
        <f>IFERROR(VLOOKUP($A26,'SCH A'!$C$15:$G$58,5,FALSE),"")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A'!$C$15:$E$58,3,FALSE),"")</f>
        <v/>
      </c>
      <c r="E27" s="238" t="str">
        <f>IFERROR(VLOOKUP($A27,'SCH A'!$C$15:$G$58,5,FALSE),"")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A'!$C$15:$E$58,3,FALSE),"")</f>
        <v/>
      </c>
      <c r="E28" s="238" t="str">
        <f>IFERROR(VLOOKUP($A28,'SCH A'!$C$15:$G$58,5,FALSE),"")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A'!$C$15:$E$58,3,FALSE),"")</f>
        <v/>
      </c>
      <c r="E29" s="238" t="str">
        <f>IFERROR(VLOOKUP($A29,'SCH A'!$C$15:$G$58,5,FALSE),"")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A'!$C$15:$E$58,3,FALSE),"")</f>
        <v/>
      </c>
      <c r="E30" s="238" t="str">
        <f>IFERROR(VLOOKUP($A30,'SCH A'!$C$15:$G$58,5,FALSE),"")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A'!$C$15:$E$58,3,FALSE),"")</f>
        <v/>
      </c>
      <c r="E31" s="238" t="str">
        <f>IFERROR(VLOOKUP($A31,'SCH A'!$C$15:$G$58,5,FALSE),"")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A'!$C$15:$E$58,3,FALSE),"")</f>
        <v/>
      </c>
      <c r="E32" s="238" t="str">
        <f>IFERROR(VLOOKUP($A32,'SCH A'!$C$15:$G$58,5,FALSE),"")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A'!$C$15:$E$58,3,FALSE),"")</f>
        <v/>
      </c>
      <c r="E33" s="238" t="str">
        <f>IFERROR(VLOOKUP($A33,'SCH A'!$C$15:$G$58,5,FALSE),"")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A'!$C$15:$E$58,3,FALSE),"")</f>
        <v/>
      </c>
      <c r="E34" s="238" t="str">
        <f>IFERROR(VLOOKUP($A34,'SCH A'!$C$15:$G$58,5,FALSE),"")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A'!$C$15:$E$58,3,FALSE),"")</f>
        <v/>
      </c>
      <c r="E35" s="238" t="str">
        <f>IFERROR(VLOOKUP($A35,'SCH A'!$C$15:$G$58,5,FALSE),"")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A'!$C$15:$E$58,3,FALSE),"")</f>
        <v/>
      </c>
      <c r="E36" s="238" t="str">
        <f>IFERROR(VLOOKUP($A36,'SCH A'!$C$15:$G$58,5,FALSE),"")</f>
        <v/>
      </c>
      <c r="F36" s="26" t="e">
        <f t="shared" si="1"/>
        <v>#VALUE!</v>
      </c>
    </row>
    <row r="37" spans="1:6" x14ac:dyDescent="0.25">
      <c r="A37" s="205" t="s">
        <v>141</v>
      </c>
      <c r="B37" s="205" t="s">
        <v>201</v>
      </c>
      <c r="C37" s="207" t="s">
        <v>227</v>
      </c>
      <c r="D37" s="223" t="str">
        <f>IFERROR(VLOOKUP($A37,'SCH A'!$C$15:$E$58,3,FALSE),"")</f>
        <v/>
      </c>
      <c r="E37" s="238" t="str">
        <f>IFERROR(VLOOKUP($A37,'SCH A'!$C$15:$G$58,5,FALSE),"")</f>
        <v/>
      </c>
      <c r="F37" s="26" t="e">
        <f t="shared" si="1"/>
        <v>#VALUE!</v>
      </c>
    </row>
    <row r="38" spans="1:6" x14ac:dyDescent="0.25">
      <c r="A38" s="204" t="s">
        <v>178</v>
      </c>
      <c r="B38" s="204" t="s">
        <v>228</v>
      </c>
      <c r="C38" s="206" t="s">
        <v>197</v>
      </c>
      <c r="D38" s="223" t="str">
        <f>IFERROR(VLOOKUP($A38,'SCH A'!$C$15:$E$58,3,FALSE),"")</f>
        <v/>
      </c>
      <c r="E38" s="238" t="str">
        <f>IFERROR(VLOOKUP($A38,'SCH A'!$C$15:$G$58,5,FALSE),"")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A'!$C$15:$E$58,3,FALSE),"")</f>
        <v/>
      </c>
      <c r="E39" s="238" t="str">
        <f>IFERROR(VLOOKUP($A39,'SCH A'!$C$15:$G$58,5,FALSE),"")</f>
        <v/>
      </c>
      <c r="F39" s="26" t="e">
        <f t="shared" si="2"/>
        <v>#VALUE!</v>
      </c>
    </row>
    <row r="40" spans="1:6" x14ac:dyDescent="0.25">
      <c r="A40" s="204" t="s">
        <v>180</v>
      </c>
      <c r="B40" s="204" t="s">
        <v>230</v>
      </c>
      <c r="C40" s="206" t="s">
        <v>197</v>
      </c>
      <c r="D40" s="223" t="str">
        <f>IFERROR(VLOOKUP($A40,'SCH A'!$C$15:$E$58,3,FALSE),"")</f>
        <v/>
      </c>
      <c r="E40" s="238" t="str">
        <f>IFERROR(VLOOKUP($A40,'SCH A'!$C$15:$G$58,5,FALSE),"")</f>
        <v/>
      </c>
      <c r="F40" s="26" t="e">
        <f t="shared" si="2"/>
        <v>#VALUE!</v>
      </c>
    </row>
    <row r="41" spans="1:6" x14ac:dyDescent="0.25">
      <c r="A41" s="205" t="s">
        <v>181</v>
      </c>
      <c r="B41" s="205" t="s">
        <v>231</v>
      </c>
      <c r="C41" s="207" t="s">
        <v>29</v>
      </c>
      <c r="D41" s="223" t="str">
        <f>IFERROR(VLOOKUP($A41,'SCH A'!$C$15:$E$58,3,FALSE),"")</f>
        <v/>
      </c>
      <c r="E41" s="238" t="str">
        <f>IFERROR(VLOOKUP($A41,'SCH A'!$C$15:$G$58,5,FALSE),"")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A'!$C$15:$E$58,3,FALSE),"")</f>
        <v/>
      </c>
      <c r="E42" s="238" t="str">
        <f>IFERROR(VLOOKUP($A42,'SCH A'!$C$15:$G$58,5,FALSE),"")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A'!$C$15:$E$58,3,FALSE),"")</f>
        <v/>
      </c>
      <c r="E43" s="238" t="str">
        <f>IFERROR(VLOOKUP($A43,'SCH A'!$C$15:$G$58,5,FALSE),"")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A'!$C$15:$E$58,3,FALSE),"")</f>
        <v/>
      </c>
      <c r="E44" s="238" t="str">
        <f>IFERROR(VLOOKUP($A44,'SCH A'!$C$15:$G$58,5,FALSE),"")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A'!$C$15:$E$58,3,FALSE),"")</f>
        <v/>
      </c>
      <c r="E45" s="238" t="str">
        <f>IFERROR(VLOOKUP($A45,'SCH A'!$C$15:$G$58,5,FALSE),"")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A'!$C$15:$E$58,3,FALSE),"")</f>
        <v/>
      </c>
      <c r="E46" s="238" t="str">
        <f>IFERROR(VLOOKUP($A46,'SCH A'!$C$15:$G$58,5,FALSE),"")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A'!$C$15:$E$58,3,FALSE),"")</f>
        <v/>
      </c>
      <c r="E47" s="238" t="str">
        <f>IFERROR(VLOOKUP($A47,'SCH A'!$C$15:$G$58,5,FALSE),"")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A'!$C$15:$E$58,3,FALSE),"")</f>
        <v/>
      </c>
      <c r="E48" s="238" t="str">
        <f>IFERROR(VLOOKUP($A48,'SCH A'!$C$15:$G$58,5,FALSE),"")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A'!$C$15:$E$58,3,FALSE),"")</f>
        <v/>
      </c>
      <c r="E49" s="238" t="str">
        <f>IFERROR(VLOOKUP($A49,'SCH A'!$C$15:$G$58,5,FALSE),"")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A'!$C$15:$E$58,3,FALSE),"")</f>
        <v/>
      </c>
      <c r="E50" s="238" t="str">
        <f>IFERROR(VLOOKUP($A50,'SCH A'!$C$15:$G$58,5,FALSE),"")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A'!$C$15:$E$58,3,FALSE),"")</f>
        <v/>
      </c>
      <c r="E51" s="238" t="str">
        <f>IFERROR(VLOOKUP($A51,'SCH A'!$C$15:$G$58,5,FALSE),"")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A'!$C$15:$E$58,3,FALSE),"")</f>
        <v/>
      </c>
      <c r="E52" s="238" t="str">
        <f>IFERROR(VLOOKUP($A52,'SCH A'!$C$15:$G$58,5,FALSE),"")</f>
        <v/>
      </c>
      <c r="F52" s="26" t="e">
        <f t="shared" si="3"/>
        <v>#VALUE!</v>
      </c>
    </row>
    <row r="53" spans="1:6" x14ac:dyDescent="0.25">
      <c r="A53" s="205" t="s">
        <v>193</v>
      </c>
      <c r="B53" s="205" t="s">
        <v>230</v>
      </c>
      <c r="C53" s="207" t="s">
        <v>227</v>
      </c>
      <c r="D53" s="223" t="str">
        <f>IFERROR(VLOOKUP($A53,'SCH A'!$C$15:$E$58,3,FALSE),"")</f>
        <v/>
      </c>
      <c r="E53" s="238" t="str">
        <f>IFERROR(VLOOKUP($A53,'SCH A'!$C$15:$G$58,5,FALSE),"")</f>
        <v/>
      </c>
      <c r="F53" s="26" t="e">
        <f t="shared" si="3"/>
        <v>#VALUE!</v>
      </c>
    </row>
    <row r="54" spans="1:6" x14ac:dyDescent="0.25">
      <c r="A54" s="204" t="s">
        <v>194</v>
      </c>
      <c r="B54" s="204" t="s">
        <v>241</v>
      </c>
      <c r="C54" s="206" t="s">
        <v>197</v>
      </c>
      <c r="D54" s="223" t="str">
        <f>IFERROR(VLOOKUP($A54,'SCH A'!$C$15:$E$58,3,FALSE),"")</f>
        <v/>
      </c>
      <c r="E54" s="238" t="str">
        <f>IFERROR(VLOOKUP($A54,'SCH A'!$C$15:$G$58,5,FALSE),"")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A'!$C$15:$E$58,3,FALSE),"")</f>
        <v/>
      </c>
      <c r="E55" s="238" t="str">
        <f>IFERROR(VLOOKUP($A55,'SCH A'!$C$15:$G$58,5,FALSE),"")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A'!$C$15:$E$58,3,FALSE),"")</f>
        <v/>
      </c>
      <c r="E56" s="238" t="str">
        <f>IFERROR(VLOOKUP($A56,'SCH A'!$C$15:$G$58,5,FALSE),"")</f>
        <v/>
      </c>
      <c r="F56" s="26" t="e">
        <f t="shared" si="4"/>
        <v>#VALUE!</v>
      </c>
    </row>
    <row r="57" spans="1:6" x14ac:dyDescent="0.25">
      <c r="A57" s="247" t="s">
        <v>364</v>
      </c>
      <c r="B57" s="249" t="s">
        <v>367</v>
      </c>
      <c r="C57" s="206" t="s">
        <v>197</v>
      </c>
      <c r="D57" s="223" t="str">
        <f>IFERROR(VLOOKUP($A57,'SCH A'!$C$15:$E$58,3,FALSE),"")</f>
        <v/>
      </c>
      <c r="E57" s="238" t="str">
        <f>IFERROR(VLOOKUP($A57,'SCH A'!$C$15:$G$58,5,FALSE),"")</f>
        <v/>
      </c>
      <c r="F57" s="26" t="e">
        <f t="shared" si="4"/>
        <v>#VALUE!</v>
      </c>
    </row>
    <row r="58" spans="1:6" x14ac:dyDescent="0.25">
      <c r="A58" s="248" t="s">
        <v>368</v>
      </c>
      <c r="B58" s="250" t="s">
        <v>241</v>
      </c>
      <c r="C58" s="250" t="s">
        <v>29</v>
      </c>
      <c r="D58" s="223" t="str">
        <f>IFERROR(VLOOKUP($A58,'SCH A'!$C$15:$E$58,3,FALSE),"")</f>
        <v/>
      </c>
      <c r="E58" s="238" t="str">
        <f>IFERROR(VLOOKUP($A58,'SCH A'!$C$15:$G$58,5,FALSE),"")</f>
        <v/>
      </c>
      <c r="F58" s="26"/>
    </row>
    <row r="59" spans="1:6" x14ac:dyDescent="0.25">
      <c r="A59" s="247" t="s">
        <v>369</v>
      </c>
      <c r="B59" s="249" t="s">
        <v>386</v>
      </c>
      <c r="C59" s="249" t="s">
        <v>29</v>
      </c>
      <c r="D59" s="223" t="str">
        <f>IFERROR(VLOOKUP($A59,'SCH A'!$C$15:$E$58,3,FALSE),"")</f>
        <v/>
      </c>
      <c r="E59" s="238" t="str">
        <f>IFERROR(VLOOKUP($A59,'SCH A'!$C$15:$G$58,5,FALSE),"")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A'!$C$15:$E$58,3,FALSE),"")</f>
        <v/>
      </c>
      <c r="E60" s="238" t="str">
        <f>IFERROR(VLOOKUP($A60,'SCH A'!$C$15:$G$58,5,FALSE),"")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A'!$C$15:$E$58,3,FALSE),"")</f>
        <v/>
      </c>
      <c r="E61" s="238" t="str">
        <f>IFERROR(VLOOKUP($A61,'SCH A'!$C$15:$G$58,5,FALSE),"")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A'!$C$15:$E$58,3,FALSE),"")</f>
        <v/>
      </c>
      <c r="E62" s="238" t="str">
        <f>IFERROR(VLOOKUP($A62,'SCH A'!$C$15:$G$58,5,FALSE),"")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A'!$C$15:$E$58,3,FALSE),"")</f>
        <v/>
      </c>
      <c r="E63" s="238" t="str">
        <f>IFERROR(VLOOKUP($A63,'SCH A'!$C$15:$G$58,5,FALSE),"")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A'!$C$15:$E$58,3,FALSE),"")</f>
        <v/>
      </c>
      <c r="E64" s="238" t="str">
        <f>IFERROR(VLOOKUP($A64,'SCH A'!$C$15:$G$58,5,FALSE),"")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A'!$C$15:$E$58,3,FALSE),"")</f>
        <v/>
      </c>
      <c r="E65" s="238" t="str">
        <f>IFERROR(VLOOKUP($A65,'SCH A'!$C$15:$G$58,5,FALSE),"")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A'!$C$15:$E$58,3,FALSE),"")</f>
        <v/>
      </c>
      <c r="E66" s="238" t="str">
        <f>IFERROR(VLOOKUP($A66,'SCH A'!$C$15:$G$58,5,FALSE),"")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A'!$C$15:$E$58,3,FALSE),"")</f>
        <v/>
      </c>
      <c r="E67" s="238" t="str">
        <f>IFERROR(VLOOKUP($A67,'SCH A'!$C$15:$G$58,5,FALSE),"")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A'!$C$15:$E$58,3,FALSE),"")</f>
        <v/>
      </c>
      <c r="E68" s="238" t="str">
        <f>IFERROR(VLOOKUP($A68,'SCH A'!$C$15:$G$58,5,FALSE),"")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A'!$C$15:$E$58,3,FALSE),"")</f>
        <v/>
      </c>
      <c r="E69" s="238" t="str">
        <f>IFERROR(VLOOKUP($A69,'SCH A'!$C$15:$G$58,5,FALSE),"")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A'!$C$15:$E$58,3,FALSE),"")</f>
        <v/>
      </c>
      <c r="E70" s="238" t="str">
        <f>IFERROR(VLOOKUP($A70,'SCH A'!$C$15:$G$58,5,FALSE),"")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A'!$C$15:$E$58,3,FALSE),"")</f>
        <v/>
      </c>
      <c r="E71" s="238" t="str">
        <f>IFERROR(VLOOKUP($A71,'SCH A'!$C$15:$G$58,5,FALSE),"")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A'!$C$15:$E$58,3,FALSE),"")</f>
        <v/>
      </c>
      <c r="E72" s="238" t="str">
        <f>IFERROR(VLOOKUP($A72,'SCH A'!$C$15:$G$58,5,FALSE),"")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A'!$C$15:$E$58,3,FALSE),"")</f>
        <v/>
      </c>
      <c r="E73" s="238" t="str">
        <f>IFERROR(VLOOKUP($A73,'SCH A'!$C$15:$G$58,5,FALSE),"")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A'!$C$15:$E$58,3,FALSE),"")</f>
        <v/>
      </c>
      <c r="E74" s="238" t="str">
        <f>IFERROR(VLOOKUP($A74,'SCH A'!$C$15:$G$58,5,FALSE),"")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A'!$C$15:$E$58,3,FALSE),"")</f>
        <v/>
      </c>
      <c r="E75" s="238" t="str">
        <f>IFERROR(VLOOKUP($A75,'SCH A'!$C$15:$G$58,5,FALSE),"")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A'!$C$15:$E$58,3,FALSE),"")</f>
        <v/>
      </c>
      <c r="E76" s="238" t="str">
        <f>IFERROR(VLOOKUP($A76,'SCH A'!$C$15:$G$58,5,FALSE),"")</f>
        <v/>
      </c>
      <c r="F76" s="26" t="e">
        <f t="shared" si="5"/>
        <v>#VALUE!</v>
      </c>
    </row>
    <row r="77" spans="1:6" x14ac:dyDescent="0.25">
      <c r="A77" s="247" t="s">
        <v>385</v>
      </c>
      <c r="B77" s="249" t="s">
        <v>367</v>
      </c>
      <c r="C77" s="249" t="s">
        <v>227</v>
      </c>
      <c r="D77" s="223" t="str">
        <f>IFERROR(VLOOKUP($A77,'SCH A'!$C$15:$E$58,3,FALSE),"")</f>
        <v/>
      </c>
      <c r="E77" s="238" t="str">
        <f>IFERROR(VLOOKUP($A77,'SCH A'!$C$15:$G$58,5,FALSE),"")</f>
        <v/>
      </c>
      <c r="F77" s="26" t="e">
        <f t="shared" si="5"/>
        <v>#VALUE!</v>
      </c>
    </row>
    <row r="78" spans="1:6" x14ac:dyDescent="0.25">
      <c r="A78" s="255" t="s">
        <v>401</v>
      </c>
      <c r="B78" s="256" t="s">
        <v>261</v>
      </c>
      <c r="C78" s="256" t="s">
        <v>197</v>
      </c>
      <c r="D78" s="223" t="str">
        <f>IFERROR(VLOOKUP($A78,'SCH A'!$C$15:$E$58,3,FALSE),"")</f>
        <v/>
      </c>
      <c r="E78" s="238" t="str">
        <f>IFERROR(VLOOKUP($A78,'SCH A'!$C$15:$G$58,5,FALSE),"")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A'!$C$15:$E$58,3,FALSE),"")</f>
        <v/>
      </c>
      <c r="E79" s="238" t="str">
        <f>IFERROR(VLOOKUP($A79,'SCH A'!$C$15:$G$58,5,FALSE),"")</f>
        <v/>
      </c>
      <c r="F79" s="26" t="e">
        <f t="shared" si="6"/>
        <v>#VALUE!</v>
      </c>
    </row>
    <row r="80" spans="1:6" x14ac:dyDescent="0.25">
      <c r="A80" s="255" t="s">
        <v>403</v>
      </c>
      <c r="B80" s="256" t="s">
        <v>263</v>
      </c>
      <c r="C80" s="256" t="s">
        <v>197</v>
      </c>
      <c r="D80" s="223" t="str">
        <f>IFERROR(VLOOKUP($A80,'SCH A'!$C$15:$E$58,3,FALSE),"")</f>
        <v/>
      </c>
      <c r="E80" s="238" t="str">
        <f>IFERROR(VLOOKUP($A80,'SCH A'!$C$15:$G$58,5,FALSE),"")</f>
        <v/>
      </c>
      <c r="F80" s="26" t="e">
        <f t="shared" si="6"/>
        <v>#VALUE!</v>
      </c>
    </row>
    <row r="81" spans="1:6" x14ac:dyDescent="0.25">
      <c r="A81" s="257" t="s">
        <v>404</v>
      </c>
      <c r="B81" s="258" t="s">
        <v>264</v>
      </c>
      <c r="C81" s="258" t="s">
        <v>197</v>
      </c>
      <c r="D81" s="223" t="str">
        <f>IFERROR(VLOOKUP($A81,'SCH A'!$C$15:$E$58,3,FALSE),"")</f>
        <v/>
      </c>
      <c r="E81" s="238" t="str">
        <f>IFERROR(VLOOKUP($A81,'SCH A'!$C$15:$G$58,5,FALSE),"")</f>
        <v/>
      </c>
      <c r="F81" s="26" t="e">
        <f t="shared" si="6"/>
        <v>#VALUE!</v>
      </c>
    </row>
    <row r="82" spans="1:6" x14ac:dyDescent="0.25">
      <c r="A82" s="255" t="s">
        <v>405</v>
      </c>
      <c r="B82" s="256" t="s">
        <v>265</v>
      </c>
      <c r="C82" s="256" t="s">
        <v>197</v>
      </c>
      <c r="D82" s="223" t="str">
        <f>IFERROR(VLOOKUP($A82,'SCH A'!$C$15:$E$58,3,FALSE),"")</f>
        <v/>
      </c>
      <c r="E82" s="238" t="str">
        <f>IFERROR(VLOOKUP($A82,'SCH A'!$C$15:$G$58,5,FALSE),"")</f>
        <v/>
      </c>
      <c r="F82" s="26" t="e">
        <f t="shared" si="6"/>
        <v>#VALUE!</v>
      </c>
    </row>
    <row r="83" spans="1:6" x14ac:dyDescent="0.25">
      <c r="A83" s="257" t="s">
        <v>406</v>
      </c>
      <c r="B83" s="258" t="s">
        <v>261</v>
      </c>
      <c r="C83" s="258" t="s">
        <v>29</v>
      </c>
      <c r="D83" s="223" t="str">
        <f>IFERROR(VLOOKUP($A83,'SCH A'!$C$15:$E$58,3,FALSE),"")</f>
        <v/>
      </c>
      <c r="E83" s="238" t="str">
        <f>IFERROR(VLOOKUP($A83,'SCH A'!$C$15:$G$58,5,FALSE),"")</f>
        <v/>
      </c>
      <c r="F83" s="223"/>
    </row>
    <row r="84" spans="1:6" x14ac:dyDescent="0.25">
      <c r="A84" s="255" t="s">
        <v>407</v>
      </c>
      <c r="B84" s="256" t="s">
        <v>262</v>
      </c>
      <c r="C84" s="256" t="s">
        <v>29</v>
      </c>
      <c r="D84" s="223" t="str">
        <f>IFERROR(VLOOKUP($A84,'SCH A'!$C$15:$E$58,3,FALSE),"")</f>
        <v/>
      </c>
      <c r="E84" s="238" t="str">
        <f>IFERROR(VLOOKUP($A84,'SCH A'!$C$15:$G$58,5,FALSE),"")</f>
        <v/>
      </c>
      <c r="F84" s="26" t="e">
        <f>IF(AND(D84&gt;=5714.29,D84&lt;11428.57),ROUND(E84*0.01,2),IF(AND(D84&gt;=11,428.57,D84&lt;13333.33),ROUND(E84*0.03,2),IF(AND(D84&gt;=13333.33,D84&lt;15238.1),ROUND(E84*0.04,2),IF(AND(D84&gt;=15238.1),ROUND(E84*0.05,2),"-"))))</f>
        <v>#VALUE!</v>
      </c>
    </row>
    <row r="85" spans="1:6" x14ac:dyDescent="0.25">
      <c r="A85" s="257" t="s">
        <v>408</v>
      </c>
      <c r="B85" s="258" t="s">
        <v>263</v>
      </c>
      <c r="C85" s="258" t="s">
        <v>29</v>
      </c>
      <c r="D85" s="223" t="str">
        <f>IFERROR(VLOOKUP($A85,'SCH A'!$C$15:$E$58,3,FALSE),"")</f>
        <v/>
      </c>
      <c r="E85" s="238" t="str">
        <f>IFERROR(VLOOKUP($A85,'SCH A'!$C$15:$G$58,5,FALSE),"")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A'!$C$15:$E$58,3,FALSE),"")</f>
        <v/>
      </c>
      <c r="E86" s="238" t="str">
        <f>IFERROR(VLOOKUP($A86,'SCH A'!$C$15:$G$58,5,FALSE),"")</f>
        <v/>
      </c>
      <c r="F86" s="223"/>
    </row>
    <row r="87" spans="1:6" x14ac:dyDescent="0.25">
      <c r="A87" s="257" t="s">
        <v>410</v>
      </c>
      <c r="B87" s="258" t="s">
        <v>265</v>
      </c>
      <c r="C87" s="258" t="s">
        <v>29</v>
      </c>
      <c r="D87" s="223" t="str">
        <f>IFERROR(VLOOKUP($A87,'SCH A'!$C$15:$E$58,3,FALSE),"")</f>
        <v/>
      </c>
      <c r="E87" s="238" t="str">
        <f>IFERROR(VLOOKUP($A87,'SCH A'!$C$15:$G$58,5,FALSE),"")</f>
        <v/>
      </c>
      <c r="F87" s="223"/>
    </row>
    <row r="88" spans="1:6" x14ac:dyDescent="0.25">
      <c r="A88" s="255" t="s">
        <v>411</v>
      </c>
      <c r="B88" s="256" t="s">
        <v>261</v>
      </c>
      <c r="C88" s="256" t="s">
        <v>227</v>
      </c>
      <c r="D88" s="223" t="str">
        <f>IFERROR(VLOOKUP($A88,'SCH A'!$C$15:$E$58,3,FALSE),"")</f>
        <v/>
      </c>
      <c r="E88" s="238" t="str">
        <f>IFERROR(VLOOKUP($A88,'SCH A'!$C$15:$G$58,5,FALSE),"")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A'!$C$15:$E$58,3,FALSE),"")</f>
        <v/>
      </c>
      <c r="E89" s="238" t="str">
        <f>IFERROR(VLOOKUP($A89,'SCH A'!$C$15:$G$58,5,FALSE),"")</f>
        <v/>
      </c>
      <c r="F89" s="26" t="e">
        <f t="shared" si="7"/>
        <v>#VALUE!</v>
      </c>
    </row>
    <row r="90" spans="1:6" x14ac:dyDescent="0.25">
      <c r="A90" s="255" t="s">
        <v>413</v>
      </c>
      <c r="B90" s="256" t="s">
        <v>263</v>
      </c>
      <c r="C90" s="256" t="s">
        <v>227</v>
      </c>
      <c r="D90" s="223" t="str">
        <f>IFERROR(VLOOKUP($A90,'SCH A'!$C$15:$E$58,3,FALSE),"")</f>
        <v/>
      </c>
      <c r="E90" s="238" t="str">
        <f>IFERROR(VLOOKUP($A90,'SCH A'!$C$15:$G$58,5,FALSE),"")</f>
        <v/>
      </c>
      <c r="F90" s="26" t="e">
        <f t="shared" si="7"/>
        <v>#VALUE!</v>
      </c>
    </row>
    <row r="91" spans="1:6" x14ac:dyDescent="0.25">
      <c r="A91" s="257" t="s">
        <v>414</v>
      </c>
      <c r="B91" s="258" t="s">
        <v>264</v>
      </c>
      <c r="C91" s="258" t="s">
        <v>227</v>
      </c>
      <c r="D91" s="223" t="str">
        <f>IFERROR(VLOOKUP($A91,'SCH A'!$C$15:$E$58,3,FALSE),"")</f>
        <v/>
      </c>
      <c r="E91" s="238" t="str">
        <f>IFERROR(VLOOKUP($A91,'SCH A'!$C$15:$G$58,5,FALSE),"")</f>
        <v/>
      </c>
      <c r="F91" s="26" t="e">
        <f t="shared" si="7"/>
        <v>#VALUE!</v>
      </c>
    </row>
    <row r="92" spans="1:6" x14ac:dyDescent="0.25">
      <c r="A92" s="255" t="s">
        <v>415</v>
      </c>
      <c r="B92" s="256" t="s">
        <v>265</v>
      </c>
      <c r="C92" s="256" t="s">
        <v>227</v>
      </c>
      <c r="D92" s="223" t="str">
        <f>IFERROR(VLOOKUP($A92,'SCH A'!$C$15:$E$58,3,FALSE),"")</f>
        <v/>
      </c>
      <c r="E92" s="238" t="str">
        <f>IFERROR(VLOOKUP($A92,'SCH A'!$C$15:$G$58,5,FALSE),"")</f>
        <v/>
      </c>
      <c r="F92" s="26" t="e">
        <f t="shared" si="7"/>
        <v>#VALUE!</v>
      </c>
    </row>
    <row r="93" spans="1:6" x14ac:dyDescent="0.25">
      <c r="A93" s="266" t="s">
        <v>435</v>
      </c>
      <c r="B93" s="267" t="s">
        <v>261</v>
      </c>
      <c r="C93" s="267" t="s">
        <v>197</v>
      </c>
      <c r="D93" s="223" t="str">
        <f>IFERROR(VLOOKUP($A93,'SCH A'!$C$15:$E$58,3,FALSE),"")</f>
        <v/>
      </c>
      <c r="E93" s="238" t="str">
        <f>IFERROR(VLOOKUP($A93,'SCH A'!$C$15:$G$58,5,FALSE),"")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A'!$C$15:$E$58,3,FALSE),"")</f>
        <v/>
      </c>
      <c r="E94" s="238" t="str">
        <f>IFERROR(VLOOKUP($A94,'SCH A'!$C$15:$G$58,5,FALSE),"")</f>
        <v/>
      </c>
      <c r="F94" s="26" t="e">
        <f t="shared" si="8"/>
        <v>#VALUE!</v>
      </c>
    </row>
    <row r="95" spans="1:6" x14ac:dyDescent="0.25">
      <c r="A95" s="266" t="s">
        <v>437</v>
      </c>
      <c r="B95" s="267" t="s">
        <v>263</v>
      </c>
      <c r="C95" s="267" t="s">
        <v>197</v>
      </c>
      <c r="D95" s="223" t="str">
        <f>IFERROR(VLOOKUP($A95,'SCH A'!$C$15:$E$58,3,FALSE),"")</f>
        <v/>
      </c>
      <c r="E95" s="238" t="str">
        <f>IFERROR(VLOOKUP($A95,'SCH A'!$C$15:$G$58,5,FALSE),"")</f>
        <v/>
      </c>
      <c r="F95" s="26" t="e">
        <f t="shared" si="8"/>
        <v>#VALUE!</v>
      </c>
    </row>
    <row r="96" spans="1:6" x14ac:dyDescent="0.25">
      <c r="A96" s="268" t="s">
        <v>438</v>
      </c>
      <c r="B96" s="269" t="s">
        <v>264</v>
      </c>
      <c r="C96" s="269" t="s">
        <v>197</v>
      </c>
      <c r="D96" s="223" t="str">
        <f>IFERROR(VLOOKUP($A96,'SCH A'!$C$15:$E$58,3,FALSE),"")</f>
        <v/>
      </c>
      <c r="E96" s="238" t="str">
        <f>IFERROR(VLOOKUP($A96,'SCH A'!$C$15:$G$58,5,FALSE),"")</f>
        <v/>
      </c>
      <c r="F96" s="26" t="e">
        <f t="shared" si="8"/>
        <v>#VALUE!</v>
      </c>
    </row>
    <row r="97" spans="1:6" x14ac:dyDescent="0.25">
      <c r="A97" s="266" t="s">
        <v>439</v>
      </c>
      <c r="B97" s="267" t="s">
        <v>265</v>
      </c>
      <c r="C97" s="267" t="s">
        <v>197</v>
      </c>
      <c r="D97" s="223" t="str">
        <f>IFERROR(VLOOKUP($A97,'SCH A'!$C$15:$E$58,3,FALSE),"")</f>
        <v/>
      </c>
      <c r="E97" s="238" t="str">
        <f>IFERROR(VLOOKUP($A97,'SCH A'!$C$15:$G$58,5,FALSE),"")</f>
        <v/>
      </c>
      <c r="F97" s="26" t="e">
        <f t="shared" si="8"/>
        <v>#VALUE!</v>
      </c>
    </row>
    <row r="98" spans="1:6" x14ac:dyDescent="0.25">
      <c r="A98" s="268" t="s">
        <v>440</v>
      </c>
      <c r="B98" s="269" t="s">
        <v>261</v>
      </c>
      <c r="C98" s="269" t="s">
        <v>29</v>
      </c>
      <c r="D98" s="223" t="str">
        <f>IFERROR(VLOOKUP($A98,'SCH A'!$C$15:$E$58,3,FALSE),"")</f>
        <v/>
      </c>
      <c r="E98" s="238" t="str">
        <f>IFERROR(VLOOKUP($A98,'SCH A'!$C$15:$G$58,5,FALSE),"")</f>
        <v/>
      </c>
      <c r="F98" s="223"/>
    </row>
    <row r="99" spans="1:6" x14ac:dyDescent="0.25">
      <c r="A99" s="266" t="s">
        <v>441</v>
      </c>
      <c r="B99" s="267" t="s">
        <v>262</v>
      </c>
      <c r="C99" s="267" t="s">
        <v>29</v>
      </c>
      <c r="D99" s="223" t="str">
        <f>IFERROR(VLOOKUP($A99,'SCH A'!$C$15:$E$58,3,FALSE),"")</f>
        <v/>
      </c>
      <c r="E99" s="238" t="str">
        <f>IFERROR(VLOOKUP($A99,'SCH A'!$C$15:$G$58,5,FALSE),"")</f>
        <v/>
      </c>
      <c r="F99" s="26" t="e">
        <f>IF(AND(D99&gt;=5714.29,D99&lt;11428.57),ROUND(E99*0.01,2),IF(AND(D99&gt;=11,428.57,D99&lt;13333.33),ROUND(E99*0.03,2),IF(AND(D99&gt;=13333.33,D99&lt;15238.1),ROUND(E99*0.04,2),IF(AND(D99&gt;=15238.1),ROUND(E99*0.05,2),"-"))))</f>
        <v>#VALUE!</v>
      </c>
    </row>
    <row r="100" spans="1:6" x14ac:dyDescent="0.25">
      <c r="A100" s="268" t="s">
        <v>442</v>
      </c>
      <c r="B100" s="269" t="s">
        <v>263</v>
      </c>
      <c r="C100" s="269" t="s">
        <v>29</v>
      </c>
      <c r="D100" s="223" t="str">
        <f>IFERROR(VLOOKUP($A100,'SCH A'!$C$15:$E$58,3,FALSE),"")</f>
        <v/>
      </c>
      <c r="E100" s="238" t="str">
        <f>IFERROR(VLOOKUP($A100,'SCH A'!$C$15:$G$58,5,FALSE),"")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A'!$C$15:$E$58,3,FALSE),"")</f>
        <v/>
      </c>
      <c r="E101" s="238" t="str">
        <f>IFERROR(VLOOKUP($A101,'SCH A'!$C$15:$G$58,5,FALSE),"")</f>
        <v/>
      </c>
      <c r="F101" s="223"/>
    </row>
    <row r="102" spans="1:6" x14ac:dyDescent="0.25">
      <c r="A102" s="268" t="s">
        <v>444</v>
      </c>
      <c r="B102" s="269" t="s">
        <v>265</v>
      </c>
      <c r="C102" s="269" t="s">
        <v>29</v>
      </c>
      <c r="D102" s="223" t="str">
        <f>IFERROR(VLOOKUP($A102,'SCH A'!$C$15:$E$58,3,FALSE),"")</f>
        <v/>
      </c>
      <c r="E102" s="238" t="str">
        <f>IFERROR(VLOOKUP($A102,'SCH A'!$C$15:$G$58,5,FALSE),"")</f>
        <v/>
      </c>
      <c r="F102" s="223"/>
    </row>
    <row r="103" spans="1:6" x14ac:dyDescent="0.25">
      <c r="A103" s="266" t="s">
        <v>445</v>
      </c>
      <c r="B103" s="267" t="s">
        <v>261</v>
      </c>
      <c r="C103" s="267" t="s">
        <v>227</v>
      </c>
      <c r="D103" s="223" t="str">
        <f>IFERROR(VLOOKUP($A103,'SCH A'!$C$15:$E$58,3,FALSE),"")</f>
        <v/>
      </c>
      <c r="E103" s="238" t="str">
        <f>IFERROR(VLOOKUP($A103,'SCH A'!$C$15:$G$58,5,FALSE),"")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A'!$C$15:$E$58,3,FALSE),"")</f>
        <v/>
      </c>
      <c r="E104" s="238" t="str">
        <f>IFERROR(VLOOKUP($A104,'SCH A'!$C$15:$G$58,5,FALSE),"")</f>
        <v/>
      </c>
      <c r="F104" s="26" t="e">
        <f t="shared" si="9"/>
        <v>#VALUE!</v>
      </c>
    </row>
    <row r="105" spans="1:6" x14ac:dyDescent="0.25">
      <c r="A105" s="266" t="s">
        <v>447</v>
      </c>
      <c r="B105" s="267" t="s">
        <v>263</v>
      </c>
      <c r="C105" s="267" t="s">
        <v>227</v>
      </c>
      <c r="D105" s="223" t="str">
        <f>IFERROR(VLOOKUP($A105,'SCH A'!$C$15:$E$58,3,FALSE),"")</f>
        <v/>
      </c>
      <c r="E105" s="238" t="str">
        <f>IFERROR(VLOOKUP($A105,'SCH A'!$C$15:$G$58,5,FALSE),"")</f>
        <v/>
      </c>
      <c r="F105" s="26" t="e">
        <f t="shared" si="9"/>
        <v>#VALUE!</v>
      </c>
    </row>
    <row r="106" spans="1:6" x14ac:dyDescent="0.25">
      <c r="A106" s="268" t="s">
        <v>448</v>
      </c>
      <c r="B106" s="269" t="s">
        <v>264</v>
      </c>
      <c r="C106" s="269" t="s">
        <v>227</v>
      </c>
      <c r="D106" s="223" t="str">
        <f>IFERROR(VLOOKUP($A106,'SCH A'!$C$15:$E$58,3,FALSE),"")</f>
        <v/>
      </c>
      <c r="E106" s="238" t="str">
        <f>IFERROR(VLOOKUP($A106,'SCH A'!$C$15:$G$58,5,FALSE),"")</f>
        <v/>
      </c>
      <c r="F106" s="26" t="e">
        <f t="shared" si="9"/>
        <v>#VALUE!</v>
      </c>
    </row>
    <row r="107" spans="1:6" x14ac:dyDescent="0.25">
      <c r="A107" s="266" t="s">
        <v>449</v>
      </c>
      <c r="B107" s="267" t="s">
        <v>265</v>
      </c>
      <c r="C107" s="267" t="s">
        <v>227</v>
      </c>
      <c r="D107" s="223" t="str">
        <f>IFERROR(VLOOKUP($A107,'SCH A'!$C$15:$E$58,3,FALSE),"")</f>
        <v/>
      </c>
      <c r="E107" s="238" t="str">
        <f>IFERROR(VLOOKUP($A107,'SCH A'!$C$15:$G$58,5,FALSE),"")</f>
        <v/>
      </c>
      <c r="F107" s="26" t="e">
        <f t="shared" si="9"/>
        <v>#VALUE!</v>
      </c>
    </row>
    <row r="108" spans="1:6" x14ac:dyDescent="0.25">
      <c r="A108" s="204" t="s">
        <v>266</v>
      </c>
      <c r="B108" s="204" t="s">
        <v>416</v>
      </c>
      <c r="C108" s="204" t="s">
        <v>276</v>
      </c>
      <c r="D108" s="223" t="str">
        <f>IFERROR(VLOOKUP($A108,'SCH A'!$C$15:$E$58,3,FALSE),"")</f>
        <v/>
      </c>
      <c r="E108" s="238" t="str">
        <f>IFERROR(VLOOKUP($A108,'SCH A'!$C$15:$G$58,5,FALSE),"")</f>
        <v/>
      </c>
      <c r="F108" s="223"/>
    </row>
    <row r="109" spans="1:6" x14ac:dyDescent="0.25">
      <c r="A109" s="205" t="s">
        <v>267</v>
      </c>
      <c r="B109" s="205" t="s">
        <v>277</v>
      </c>
      <c r="C109" s="205" t="s">
        <v>276</v>
      </c>
      <c r="D109" s="223" t="str">
        <f>IFERROR(VLOOKUP($A109,'SCH A'!$C$15:$E$58,3,FALSE),"")</f>
        <v/>
      </c>
      <c r="E109" s="238" t="str">
        <f>IFERROR(VLOOKUP($A109,'SCH A'!$C$15:$G$58,5,FALSE),"")</f>
        <v/>
      </c>
      <c r="F109" s="223"/>
    </row>
    <row r="110" spans="1:6" x14ac:dyDescent="0.25">
      <c r="A110" s="204" t="s">
        <v>268</v>
      </c>
      <c r="B110" s="204" t="s">
        <v>417</v>
      </c>
      <c r="C110" s="204" t="s">
        <v>276</v>
      </c>
      <c r="D110" s="223" t="str">
        <f>IFERROR(VLOOKUP($A110,'SCH A'!$C$15:$E$58,3,FALSE),"")</f>
        <v/>
      </c>
      <c r="E110" s="238" t="str">
        <f>IFERROR(VLOOKUP($A110,'SCH A'!$C$15:$G$58,5,FALSE),"")</f>
        <v/>
      </c>
      <c r="F110" s="223"/>
    </row>
    <row r="111" spans="1:6" x14ac:dyDescent="0.25">
      <c r="A111" s="205" t="s">
        <v>269</v>
      </c>
      <c r="B111" s="205" t="s">
        <v>278</v>
      </c>
      <c r="C111" s="205" t="s">
        <v>276</v>
      </c>
      <c r="D111" s="223" t="str">
        <f>IFERROR(VLOOKUP($A111,'SCH A'!$C$15:$E$58,3,FALSE),"")</f>
        <v/>
      </c>
      <c r="E111" s="238" t="str">
        <f>IFERROR(VLOOKUP($A111,'SCH A'!$C$15:$G$58,5,FALSE),"")</f>
        <v/>
      </c>
      <c r="F111" s="223"/>
    </row>
    <row r="112" spans="1:6" x14ac:dyDescent="0.25">
      <c r="A112" s="204" t="s">
        <v>270</v>
      </c>
      <c r="B112" s="204" t="s">
        <v>416</v>
      </c>
      <c r="C112" s="204" t="s">
        <v>29</v>
      </c>
      <c r="D112" s="223" t="str">
        <f>IFERROR(VLOOKUP($A112,'SCH A'!$C$15:$E$58,3,FALSE),"")</f>
        <v/>
      </c>
      <c r="E112" s="238" t="str">
        <f>IFERROR(VLOOKUP($A112,'SCH A'!$C$15:$G$58,5,FALSE),"")</f>
        <v/>
      </c>
      <c r="F112" s="223"/>
    </row>
    <row r="113" spans="1:6" x14ac:dyDescent="0.25">
      <c r="A113" s="205" t="s">
        <v>271</v>
      </c>
      <c r="B113" s="212" t="s">
        <v>277</v>
      </c>
      <c r="C113" s="205" t="s">
        <v>29</v>
      </c>
      <c r="D113" s="223" t="str">
        <f>IFERROR(VLOOKUP($A113,'SCH A'!$C$15:$E$58,3,FALSE),"")</f>
        <v/>
      </c>
      <c r="E113" s="238" t="str">
        <f>IFERROR(VLOOKUP($A113,'SCH A'!$C$15:$G$58,5,FALSE),"")</f>
        <v/>
      </c>
      <c r="F113" s="223"/>
    </row>
    <row r="114" spans="1:6" x14ac:dyDescent="0.25">
      <c r="A114" s="204" t="s">
        <v>272</v>
      </c>
      <c r="B114" s="213" t="s">
        <v>417</v>
      </c>
      <c r="C114" s="204" t="s">
        <v>29</v>
      </c>
      <c r="D114" s="223" t="str">
        <f>IFERROR(VLOOKUP($A114,'SCH A'!$C$15:$E$58,3,FALSE),"")</f>
        <v/>
      </c>
      <c r="E114" s="238" t="str">
        <f>IFERROR(VLOOKUP($A114,'SCH A'!$C$15:$G$58,5,FALSE),"")</f>
        <v/>
      </c>
      <c r="F114" s="223"/>
    </row>
    <row r="115" spans="1:6" ht="26.25" x14ac:dyDescent="0.25">
      <c r="A115" s="205" t="s">
        <v>273</v>
      </c>
      <c r="B115" s="212" t="s">
        <v>278</v>
      </c>
      <c r="C115" s="205" t="s">
        <v>29</v>
      </c>
      <c r="D115" s="223" t="str">
        <f>IFERROR(VLOOKUP($A115,'SCH A'!$C$15:$E$58,3,FALSE),"")</f>
        <v/>
      </c>
      <c r="E115" s="238" t="str">
        <f>IFERROR(VLOOKUP($A115,'SCH A'!$C$15:$G$58,5,FALSE),"")</f>
        <v/>
      </c>
      <c r="F115" s="223"/>
    </row>
    <row r="116" spans="1:6" x14ac:dyDescent="0.25">
      <c r="A116" s="204" t="s">
        <v>274</v>
      </c>
      <c r="B116" s="204" t="s">
        <v>416</v>
      </c>
      <c r="C116" s="204" t="s">
        <v>197</v>
      </c>
      <c r="D116" s="223" t="str">
        <f>IFERROR(VLOOKUP($A116,'SCH A'!$C$15:$E$58,3,FALSE),"")</f>
        <v/>
      </c>
      <c r="E116" s="238" t="str">
        <f>IFERROR(VLOOKUP($A116,'SCH A'!$C$15:$G$58,5,FALSE),"")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A'!$C$15:$E$58,3,FALSE),"")</f>
        <v/>
      </c>
      <c r="E117" s="238" t="str">
        <f>IFERROR(VLOOKUP($A117,'SCH A'!$C$15:$G$58,5,FALSE),"")</f>
        <v/>
      </c>
      <c r="F117" s="26" t="e">
        <f t="shared" si="10"/>
        <v>#VALUE!</v>
      </c>
    </row>
    <row r="118" spans="1:6" x14ac:dyDescent="0.25">
      <c r="A118" s="204" t="s">
        <v>279</v>
      </c>
      <c r="B118" s="204" t="s">
        <v>280</v>
      </c>
      <c r="C118" s="206" t="s">
        <v>197</v>
      </c>
      <c r="D118" s="223" t="str">
        <f>IFERROR(VLOOKUP($A118,'SCH A'!$C$15:$E$58,3,FALSE),"")</f>
        <v/>
      </c>
      <c r="E118" s="238" t="str">
        <f>IFERROR(VLOOKUP($A118,'SCH A'!$C$15:$G$58,5,FALSE),"")</f>
        <v/>
      </c>
      <c r="F118" s="223"/>
    </row>
    <row r="119" spans="1:6" x14ac:dyDescent="0.25">
      <c r="A119" s="205" t="s">
        <v>281</v>
      </c>
      <c r="B119" s="205" t="s">
        <v>249</v>
      </c>
      <c r="C119" s="205" t="s">
        <v>197</v>
      </c>
      <c r="D119" s="223" t="str">
        <f>IFERROR(VLOOKUP($A119,'SCH A'!$C$15:$E$58,3,FALSE),"")</f>
        <v/>
      </c>
      <c r="E119" s="238" t="str">
        <f>IFERROR(VLOOKUP($A119,'SCH A'!$C$15:$G$58,5,FALSE),"")</f>
        <v/>
      </c>
      <c r="F119" s="26" t="e">
        <f>IF((D119&gt;=1575),ROUND(E119*0.01,2),"-")</f>
        <v>#VALUE!</v>
      </c>
    </row>
    <row r="120" spans="1:6" x14ac:dyDescent="0.25">
      <c r="A120" s="204" t="s">
        <v>282</v>
      </c>
      <c r="B120" s="204" t="s">
        <v>250</v>
      </c>
      <c r="C120" s="204" t="s">
        <v>197</v>
      </c>
      <c r="D120" s="223" t="str">
        <f>IFERROR(VLOOKUP($A120,'SCH A'!$C$15:$E$58,3,FALSE),"")</f>
        <v/>
      </c>
      <c r="E120" s="238" t="str">
        <f>IFERROR(VLOOKUP($A120,'SCH A'!$C$15:$G$58,5,FALSE),"")</f>
        <v/>
      </c>
      <c r="F120" s="26" t="e">
        <f>IF((D120&gt;=1050),ROUND(E120*0.01,2),"-")</f>
        <v>#VALUE!</v>
      </c>
    </row>
    <row r="121" spans="1:6" x14ac:dyDescent="0.25">
      <c r="A121" s="205" t="s">
        <v>283</v>
      </c>
      <c r="B121" s="205" t="s">
        <v>251</v>
      </c>
      <c r="C121" s="205" t="s">
        <v>197</v>
      </c>
      <c r="D121" s="223" t="str">
        <f>IFERROR(VLOOKUP($A121,'SCH A'!$C$15:$E$58,3,FALSE),"")</f>
        <v/>
      </c>
      <c r="E121" s="238" t="str">
        <f>IFERROR(VLOOKUP($A121,'SCH A'!$C$15:$G$58,5,FALSE),"")</f>
        <v/>
      </c>
      <c r="F121" s="26" t="e">
        <f>IF((D121&gt;=787.5),ROUND(E121*0.01,2),"-")</f>
        <v>#VALUE!</v>
      </c>
    </row>
    <row r="122" spans="1:6" x14ac:dyDescent="0.25">
      <c r="A122" s="204" t="s">
        <v>284</v>
      </c>
      <c r="B122" s="204" t="s">
        <v>252</v>
      </c>
      <c r="C122" s="204" t="s">
        <v>197</v>
      </c>
      <c r="D122" s="223" t="str">
        <f>IFERROR(VLOOKUP($A122,'SCH A'!$C$15:$E$58,3,FALSE),"")</f>
        <v/>
      </c>
      <c r="E122" s="238" t="str">
        <f>IFERROR(VLOOKUP($A122,'SCH A'!$C$15:$G$58,5,FALSE),"")</f>
        <v/>
      </c>
      <c r="F122" s="26" t="e">
        <f>IF((D122&gt;=393.75),ROUND(E122*0.01,2),"-")</f>
        <v>#VALUE!</v>
      </c>
    </row>
    <row r="123" spans="1:6" x14ac:dyDescent="0.25">
      <c r="A123" s="205" t="s">
        <v>285</v>
      </c>
      <c r="B123" s="205" t="s">
        <v>291</v>
      </c>
      <c r="C123" s="205" t="s">
        <v>197</v>
      </c>
      <c r="D123" s="223" t="str">
        <f>IFERROR(VLOOKUP($A123,'SCH A'!$C$15:$E$58,3,FALSE),"")</f>
        <v/>
      </c>
      <c r="E123" s="238" t="str">
        <f>IFERROR(VLOOKUP($A123,'SCH A'!$C$15:$G$58,5,FALSE),"")</f>
        <v/>
      </c>
      <c r="F123" s="26" t="e">
        <f>IF((D123&gt;=(1575*2)),ROUND(E123*0.01,2),"-")</f>
        <v>#VALUE!</v>
      </c>
    </row>
    <row r="124" spans="1:6" x14ac:dyDescent="0.25">
      <c r="A124" s="204" t="s">
        <v>286</v>
      </c>
      <c r="B124" s="204" t="s">
        <v>292</v>
      </c>
      <c r="C124" s="204" t="s">
        <v>197</v>
      </c>
      <c r="D124" s="223" t="str">
        <f>IFERROR(VLOOKUP($A124,'SCH A'!$C$15:$E$58,3,FALSE),"")</f>
        <v/>
      </c>
      <c r="E124" s="238" t="str">
        <f>IFERROR(VLOOKUP($A124,'SCH A'!$C$15:$G$58,5,FALSE),"")</f>
        <v/>
      </c>
      <c r="F124" s="26" t="e">
        <f>IF((D124&gt;=(787.5*2)),ROUND(E124*0.01,2),"-")</f>
        <v>#VALUE!</v>
      </c>
    </row>
    <row r="125" spans="1:6" x14ac:dyDescent="0.25">
      <c r="A125" s="205" t="s">
        <v>287</v>
      </c>
      <c r="B125" s="205" t="s">
        <v>293</v>
      </c>
      <c r="C125" s="205" t="s">
        <v>197</v>
      </c>
      <c r="D125" s="223" t="str">
        <f>IFERROR(VLOOKUP($A125,'SCH A'!$C$15:$E$58,3,FALSE),"")</f>
        <v/>
      </c>
      <c r="E125" s="238" t="str">
        <f>IFERROR(VLOOKUP($A125,'SCH A'!$C$15:$G$58,5,FALSE),"")</f>
        <v/>
      </c>
      <c r="F125" s="26" t="e">
        <f>IF((D125&gt;=(1050*2)),ROUND(E125*0.01,2),"-")</f>
        <v>#VALUE!</v>
      </c>
    </row>
    <row r="126" spans="1:6" x14ac:dyDescent="0.25">
      <c r="A126" s="204" t="s">
        <v>288</v>
      </c>
      <c r="B126" s="204" t="s">
        <v>294</v>
      </c>
      <c r="C126" s="204" t="s">
        <v>197</v>
      </c>
      <c r="D126" s="223" t="str">
        <f>IFERROR(VLOOKUP($A126,'SCH A'!$C$15:$E$58,3,FALSE),"")</f>
        <v/>
      </c>
      <c r="E126" s="238" t="str">
        <f>IFERROR(VLOOKUP($A126,'SCH A'!$C$15:$G$58,5,FALSE),"")</f>
        <v/>
      </c>
      <c r="F126" s="26" t="e">
        <f>IF((D126&gt;=(787.5*2)),ROUND(E126*0.01,2),"-")</f>
        <v>#VALUE!</v>
      </c>
    </row>
    <row r="127" spans="1:6" x14ac:dyDescent="0.25">
      <c r="A127" s="205" t="s">
        <v>289</v>
      </c>
      <c r="B127" s="205" t="s">
        <v>295</v>
      </c>
      <c r="C127" s="205" t="s">
        <v>197</v>
      </c>
      <c r="D127" s="223" t="str">
        <f>IFERROR(VLOOKUP($A127,'SCH A'!$C$15:$E$58,3,FALSE),"")</f>
        <v/>
      </c>
      <c r="E127" s="238" t="str">
        <f>IFERROR(VLOOKUP($A127,'SCH A'!$C$15:$G$58,5,FALSE),"")</f>
        <v/>
      </c>
      <c r="F127" s="26" t="e">
        <f>IF((D127&gt;=(787.5*2)),ROUND(E127*0.01,2),"-")</f>
        <v>#VALUE!</v>
      </c>
    </row>
    <row r="128" spans="1:6" x14ac:dyDescent="0.25">
      <c r="A128" s="204" t="s">
        <v>290</v>
      </c>
      <c r="B128" s="204" t="s">
        <v>296</v>
      </c>
      <c r="C128" s="204" t="s">
        <v>197</v>
      </c>
      <c r="D128" s="223" t="str">
        <f>IFERROR(VLOOKUP($A128,'SCH A'!$C$15:$E$58,3,FALSE),"")</f>
        <v/>
      </c>
      <c r="E128" s="238" t="str">
        <f>IFERROR(VLOOKUP($A128,'SCH A'!$C$15:$G$58,5,FALSE),"")</f>
        <v/>
      </c>
      <c r="F128" s="26" t="e">
        <f>IF((D128&gt;=(393.75*2)),ROUND(E128*0.01,2),"-")</f>
        <v>#VALUE!</v>
      </c>
    </row>
    <row r="129" spans="1:16" x14ac:dyDescent="0.25">
      <c r="A129" s="205" t="s">
        <v>242</v>
      </c>
      <c r="B129" s="205" t="s">
        <v>249</v>
      </c>
      <c r="C129" s="205" t="s">
        <v>29</v>
      </c>
      <c r="D129" s="223" t="str">
        <f>IFERROR(VLOOKUP($A129,'SCH A'!$C$15:$E$58,3,FALSE),"")</f>
        <v/>
      </c>
      <c r="E129" s="238" t="str">
        <f>IFERROR(VLOOKUP($A129,'SCH A'!$C$15:$G$58,5,FALSE),"")</f>
        <v/>
      </c>
      <c r="F129" s="26" t="e">
        <f>IF((D129&gt;=40000),ROUND(E129*0.05,2),"-")</f>
        <v>#VALUE!</v>
      </c>
    </row>
    <row r="130" spans="1:16" x14ac:dyDescent="0.25">
      <c r="A130" s="204" t="s">
        <v>243</v>
      </c>
      <c r="B130" s="204" t="s">
        <v>250</v>
      </c>
      <c r="C130" s="204" t="s">
        <v>29</v>
      </c>
      <c r="D130" s="223" t="str">
        <f>IFERROR(VLOOKUP($A130,'SCH A'!$C$15:$E$58,3,FALSE),"")</f>
        <v/>
      </c>
      <c r="E130" s="238" t="str">
        <f>IFERROR(VLOOKUP($A130,'SCH A'!$C$15:$G$58,5,FALSE),"")</f>
        <v/>
      </c>
      <c r="F130" s="26" t="e">
        <f t="shared" ref="F130:F135" si="11">IF((D130&gt;=40000),ROUND(E130*0.05,2),"-")</f>
        <v>#VALUE!</v>
      </c>
    </row>
    <row r="131" spans="1:16" x14ac:dyDescent="0.25">
      <c r="A131" s="205" t="s">
        <v>244</v>
      </c>
      <c r="B131" s="205" t="s">
        <v>251</v>
      </c>
      <c r="C131" s="205" t="s">
        <v>29</v>
      </c>
      <c r="D131" s="223" t="str">
        <f>IFERROR(VLOOKUP($A131,'SCH A'!$C$15:$E$58,3,FALSE),"")</f>
        <v/>
      </c>
      <c r="E131" s="238" t="str">
        <f>IFERROR(VLOOKUP($A131,'SCH A'!$C$15:$G$58,5,FALSE),"")</f>
        <v/>
      </c>
      <c r="F131" s="26" t="e">
        <f t="shared" ref="F131" si="12">IF((D131&gt;=40000),ROUND(E131*0.05,2),"-")</f>
        <v>#VALUE!</v>
      </c>
    </row>
    <row r="132" spans="1:16" x14ac:dyDescent="0.25">
      <c r="A132" s="204" t="s">
        <v>245</v>
      </c>
      <c r="B132" s="204" t="s">
        <v>252</v>
      </c>
      <c r="C132" s="204" t="s">
        <v>29</v>
      </c>
      <c r="D132" s="223" t="str">
        <f>IFERROR(VLOOKUP($A132,'SCH A'!$C$15:$E$58,3,FALSE),"")</f>
        <v/>
      </c>
      <c r="E132" s="238" t="str">
        <f>IFERROR(VLOOKUP($A132,'SCH A'!$C$15:$G$58,5,FALSE),"")</f>
        <v/>
      </c>
      <c r="F132" s="26" t="e">
        <f t="shared" si="11"/>
        <v>#VALUE!</v>
      </c>
    </row>
    <row r="133" spans="1:16" x14ac:dyDescent="0.25">
      <c r="A133" s="205" t="s">
        <v>246</v>
      </c>
      <c r="B133" s="205" t="s">
        <v>253</v>
      </c>
      <c r="C133" s="205" t="s">
        <v>29</v>
      </c>
      <c r="D133" s="223" t="str">
        <f>IFERROR(VLOOKUP($A133,'SCH A'!$C$15:$E$58,3,FALSE),"")</f>
        <v/>
      </c>
      <c r="E133" s="238" t="str">
        <f>IFERROR(VLOOKUP($A133,'SCH A'!$C$15:$G$58,5,FALSE),"")</f>
        <v/>
      </c>
      <c r="F133" s="26" t="e">
        <f t="shared" si="11"/>
        <v>#VALUE!</v>
      </c>
    </row>
    <row r="134" spans="1:16" x14ac:dyDescent="0.25">
      <c r="A134" s="204" t="s">
        <v>247</v>
      </c>
      <c r="B134" s="204" t="s">
        <v>254</v>
      </c>
      <c r="C134" s="204" t="s">
        <v>29</v>
      </c>
      <c r="D134" s="223" t="str">
        <f>IFERROR(VLOOKUP($A134,'SCH A'!$C$15:$E$58,3,FALSE),"")</f>
        <v/>
      </c>
      <c r="E134" s="238" t="str">
        <f>IFERROR(VLOOKUP($A134,'SCH A'!$C$15:$G$58,5,FALSE),"")</f>
        <v/>
      </c>
      <c r="F134" s="26" t="e">
        <f t="shared" si="11"/>
        <v>#VALUE!</v>
      </c>
    </row>
    <row r="135" spans="1:16" x14ac:dyDescent="0.25">
      <c r="A135" s="205" t="s">
        <v>248</v>
      </c>
      <c r="B135" s="205" t="s">
        <v>255</v>
      </c>
      <c r="C135" s="205" t="s">
        <v>29</v>
      </c>
      <c r="D135" s="223" t="str">
        <f>IFERROR(VLOOKUP($A135,'SCH A'!$C$15:$E$58,3,FALSE),"")</f>
        <v/>
      </c>
      <c r="E135" s="238" t="str">
        <f>IFERROR(VLOOKUP($A135,'SCH A'!$C$15:$G$58,5,FALSE),"")</f>
        <v/>
      </c>
      <c r="F135" s="26" t="e">
        <f t="shared" si="11"/>
        <v>#VALUE!</v>
      </c>
    </row>
    <row r="136" spans="1:16" x14ac:dyDescent="0.25">
      <c r="A136" s="251" t="s">
        <v>418</v>
      </c>
      <c r="B136" s="252" t="s">
        <v>424</v>
      </c>
      <c r="C136" s="252" t="s">
        <v>197</v>
      </c>
      <c r="D136" s="223" t="str">
        <f>IFERROR(VLOOKUP($A136,'SCH A'!$C$15:$E$58,3,FALSE),"")</f>
        <v/>
      </c>
      <c r="E136" s="238" t="str">
        <f>IFERROR(VLOOKUP($A136,'SCH A'!$C$15:$G$58,5,FALSE),"")</f>
        <v/>
      </c>
      <c r="F136" s="26" t="str">
        <f>IF(ISNUMBER(D136),ROUND(E136*0.01,2),"-")</f>
        <v>-</v>
      </c>
    </row>
    <row r="137" spans="1:16" x14ac:dyDescent="0.25">
      <c r="A137" s="253" t="s">
        <v>419</v>
      </c>
      <c r="B137" s="254" t="s">
        <v>425</v>
      </c>
      <c r="C137" s="254" t="s">
        <v>197</v>
      </c>
      <c r="D137" s="223" t="str">
        <f>IFERROR(VLOOKUP($A137,'SCH A'!$C$15:$E$58,3,FALSE),"")</f>
        <v/>
      </c>
      <c r="E137" s="238" t="str">
        <f>IFERROR(VLOOKUP($A137,'SCH A'!$C$15:$G$58,5,FALSE),"")</f>
        <v/>
      </c>
      <c r="F137" s="26" t="str">
        <f>IF(ISNUMBER(D137),ROUND(E137*0.01,2),"-")</f>
        <v>-</v>
      </c>
    </row>
    <row r="138" spans="1:16" x14ac:dyDescent="0.25">
      <c r="A138" s="251" t="s">
        <v>420</v>
      </c>
      <c r="B138" s="252" t="s">
        <v>426</v>
      </c>
      <c r="C138" s="252" t="s">
        <v>197</v>
      </c>
      <c r="D138" s="223" t="str">
        <f>IFERROR(VLOOKUP($A138,'SCH A'!$C$15:$E$58,3,FALSE),"")</f>
        <v/>
      </c>
      <c r="E138" s="238" t="str">
        <f>IFERROR(VLOOKUP($A138,'SCH A'!$C$15:$G$58,5,FALSE),"")</f>
        <v/>
      </c>
      <c r="F138" s="26" t="str">
        <f>IF(ISNUMBER(D138),ROUND(E138*0.01,2),"-")</f>
        <v>-</v>
      </c>
    </row>
    <row r="139" spans="1:16" x14ac:dyDescent="0.25">
      <c r="A139" s="253" t="s">
        <v>421</v>
      </c>
      <c r="B139" s="254" t="s">
        <v>424</v>
      </c>
      <c r="C139" s="254" t="s">
        <v>29</v>
      </c>
      <c r="D139" s="223" t="str">
        <f>IFERROR(VLOOKUP($A139,'SCH A'!$C$15:$E$58,3,FALSE),"")</f>
        <v/>
      </c>
      <c r="E139" s="238" t="str">
        <f>IFERROR(VLOOKUP($A139,'SCH A'!$C$15:$G$58,5,FALSE),"")</f>
        <v/>
      </c>
      <c r="F139" s="284">
        <v>0.05</v>
      </c>
    </row>
    <row r="140" spans="1:16" x14ac:dyDescent="0.25">
      <c r="A140" s="251" t="s">
        <v>422</v>
      </c>
      <c r="B140" s="252" t="s">
        <v>425</v>
      </c>
      <c r="C140" s="252" t="s">
        <v>29</v>
      </c>
      <c r="D140" s="223" t="str">
        <f>IFERROR(VLOOKUP($A140,'SCH A'!$C$15:$E$58,3,FALSE),"")</f>
        <v/>
      </c>
      <c r="E140" s="238" t="str">
        <f>IFERROR(VLOOKUP($A140,'SCH A'!$C$15:$G$58,5,FALSE),"")</f>
        <v/>
      </c>
      <c r="F140" s="284">
        <v>0.05</v>
      </c>
    </row>
    <row r="141" spans="1:16" x14ac:dyDescent="0.25">
      <c r="A141" s="253" t="s">
        <v>423</v>
      </c>
      <c r="B141" s="254" t="s">
        <v>426</v>
      </c>
      <c r="C141" s="254" t="s">
        <v>29</v>
      </c>
      <c r="D141" s="223" t="str">
        <f>IFERROR(VLOOKUP($A141,'SCH A'!$C$15:$E$58,3,FALSE),"")</f>
        <v/>
      </c>
      <c r="E141" s="238" t="str">
        <f>IFERROR(VLOOKUP($A141,'SCH A'!$C$15:$G$58,5,FALSE),"")</f>
        <v/>
      </c>
      <c r="F141" s="284">
        <v>0.05</v>
      </c>
    </row>
    <row r="142" spans="1:16" x14ac:dyDescent="0.25">
      <c r="A142" s="251" t="s">
        <v>450</v>
      </c>
      <c r="B142" s="252" t="s">
        <v>424</v>
      </c>
      <c r="C142" s="252" t="s">
        <v>197</v>
      </c>
      <c r="D142" s="223" t="str">
        <f>IFERROR(VLOOKUP($A142,'SCH A'!$C$15:$E$58,3,FALSE),"")</f>
        <v/>
      </c>
      <c r="E142" s="238" t="str">
        <f>IFERROR(VLOOKUP($A142,'SCH A'!$C$15:$G$58,5,FALSE),"")</f>
        <v/>
      </c>
      <c r="F142" s="26" t="str">
        <f>IF(ISNUMBER(D142),ROUND(E142*0.01,2),"-")</f>
        <v>-</v>
      </c>
      <c r="P142" t="s">
        <v>454</v>
      </c>
    </row>
    <row r="143" spans="1:16" x14ac:dyDescent="0.25">
      <c r="A143" s="253" t="s">
        <v>451</v>
      </c>
      <c r="B143" s="254" t="s">
        <v>424</v>
      </c>
      <c r="C143" s="254" t="s">
        <v>29</v>
      </c>
      <c r="D143" s="223" t="str">
        <f>IFERROR(VLOOKUP($A143,'SCH A'!$C$15:$E$58,3,FALSE),"")</f>
        <v/>
      </c>
      <c r="E143" s="238" t="str">
        <f>IFERROR(VLOOKUP($A143,'SCH A'!$C$15:$G$58,5,FALSE),"")</f>
        <v/>
      </c>
      <c r="F143" s="284">
        <v>0.08</v>
      </c>
      <c r="P143" t="s">
        <v>455</v>
      </c>
    </row>
    <row r="144" spans="1:16" hidden="1" x14ac:dyDescent="0.25">
      <c r="A144" s="215" t="s">
        <v>297</v>
      </c>
      <c r="B144" s="216" t="s">
        <v>318</v>
      </c>
      <c r="C144" s="217" t="s">
        <v>197</v>
      </c>
    </row>
    <row r="145" spans="1:3" hidden="1" x14ac:dyDescent="0.25">
      <c r="A145" s="205" t="s">
        <v>298</v>
      </c>
      <c r="B145" s="205" t="s">
        <v>319</v>
      </c>
      <c r="C145" s="207" t="s">
        <v>197</v>
      </c>
    </row>
    <row r="146" spans="1:3" hidden="1" x14ac:dyDescent="0.25">
      <c r="A146" s="204" t="s">
        <v>299</v>
      </c>
      <c r="B146" s="204" t="s">
        <v>320</v>
      </c>
      <c r="C146" s="206" t="s">
        <v>197</v>
      </c>
    </row>
    <row r="147" spans="1:3" hidden="1" x14ac:dyDescent="0.25">
      <c r="A147" s="205" t="s">
        <v>300</v>
      </c>
      <c r="B147" s="205" t="s">
        <v>321</v>
      </c>
      <c r="C147" s="207" t="s">
        <v>197</v>
      </c>
    </row>
    <row r="148" spans="1:3" hidden="1" x14ac:dyDescent="0.25">
      <c r="A148" s="204" t="s">
        <v>301</v>
      </c>
      <c r="B148" s="204" t="s">
        <v>322</v>
      </c>
      <c r="C148" s="206" t="s">
        <v>197</v>
      </c>
    </row>
    <row r="149" spans="1:3" hidden="1" x14ac:dyDescent="0.25">
      <c r="A149" s="205" t="s">
        <v>302</v>
      </c>
      <c r="B149" s="205" t="s">
        <v>323</v>
      </c>
      <c r="C149" s="207" t="s">
        <v>197</v>
      </c>
    </row>
    <row r="150" spans="1:3" hidden="1" x14ac:dyDescent="0.25">
      <c r="A150" s="204" t="s">
        <v>303</v>
      </c>
      <c r="B150" s="204" t="s">
        <v>324</v>
      </c>
      <c r="C150" s="206" t="s">
        <v>197</v>
      </c>
    </row>
    <row r="151" spans="1:3" hidden="1" x14ac:dyDescent="0.25">
      <c r="A151" s="205" t="s">
        <v>304</v>
      </c>
      <c r="B151" s="205" t="s">
        <v>325</v>
      </c>
      <c r="C151" s="207" t="s">
        <v>197</v>
      </c>
    </row>
    <row r="152" spans="1:3" hidden="1" x14ac:dyDescent="0.25">
      <c r="A152" s="204" t="s">
        <v>305</v>
      </c>
      <c r="B152" s="204" t="s">
        <v>326</v>
      </c>
      <c r="C152" s="206" t="s">
        <v>197</v>
      </c>
    </row>
    <row r="153" spans="1:3" hidden="1" x14ac:dyDescent="0.25">
      <c r="A153" s="205" t="s">
        <v>306</v>
      </c>
      <c r="B153" s="205" t="s">
        <v>327</v>
      </c>
      <c r="C153" s="207" t="s">
        <v>197</v>
      </c>
    </row>
    <row r="154" spans="1:3" hidden="1" x14ac:dyDescent="0.25">
      <c r="A154" s="204" t="s">
        <v>307</v>
      </c>
      <c r="B154" s="204" t="s">
        <v>328</v>
      </c>
      <c r="C154" s="206" t="s">
        <v>197</v>
      </c>
    </row>
    <row r="155" spans="1:3" hidden="1" x14ac:dyDescent="0.25">
      <c r="A155" s="205" t="s">
        <v>308</v>
      </c>
      <c r="B155" s="205" t="s">
        <v>329</v>
      </c>
      <c r="C155" s="207" t="s">
        <v>197</v>
      </c>
    </row>
    <row r="156" spans="1:3" hidden="1" x14ac:dyDescent="0.25">
      <c r="A156" s="204" t="s">
        <v>309</v>
      </c>
      <c r="B156" s="204" t="s">
        <v>330</v>
      </c>
      <c r="C156" s="206" t="s">
        <v>197</v>
      </c>
    </row>
    <row r="157" spans="1:3" hidden="1" x14ac:dyDescent="0.25">
      <c r="A157" s="205" t="s">
        <v>310</v>
      </c>
      <c r="B157" s="205" t="s">
        <v>331</v>
      </c>
      <c r="C157" s="207" t="s">
        <v>197</v>
      </c>
    </row>
    <row r="158" spans="1:3" hidden="1" x14ac:dyDescent="0.25">
      <c r="A158" s="204" t="s">
        <v>311</v>
      </c>
      <c r="B158" s="204" t="s">
        <v>332</v>
      </c>
      <c r="C158" s="206" t="s">
        <v>197</v>
      </c>
    </row>
    <row r="159" spans="1:3" hidden="1" x14ac:dyDescent="0.25">
      <c r="A159" s="205" t="s">
        <v>312</v>
      </c>
      <c r="B159" s="205" t="s">
        <v>333</v>
      </c>
      <c r="C159" s="207" t="s">
        <v>197</v>
      </c>
    </row>
    <row r="160" spans="1:3" hidden="1" x14ac:dyDescent="0.25">
      <c r="A160" s="204" t="s">
        <v>313</v>
      </c>
      <c r="B160" s="204" t="s">
        <v>334</v>
      </c>
      <c r="C160" s="206" t="s">
        <v>197</v>
      </c>
    </row>
    <row r="161" spans="1:3" hidden="1" x14ac:dyDescent="0.25">
      <c r="A161" s="205" t="s">
        <v>314</v>
      </c>
      <c r="B161" s="205" t="s">
        <v>335</v>
      </c>
      <c r="C161" s="207" t="s">
        <v>197</v>
      </c>
    </row>
    <row r="162" spans="1:3" hidden="1" x14ac:dyDescent="0.25">
      <c r="A162" s="204" t="s">
        <v>315</v>
      </c>
      <c r="B162" s="204" t="s">
        <v>336</v>
      </c>
      <c r="C162" s="206" t="s">
        <v>197</v>
      </c>
    </row>
    <row r="163" spans="1:3" hidden="1" x14ac:dyDescent="0.25">
      <c r="A163" s="205" t="s">
        <v>316</v>
      </c>
      <c r="B163" s="205" t="s">
        <v>337</v>
      </c>
      <c r="C163" s="207" t="s">
        <v>197</v>
      </c>
    </row>
    <row r="164" spans="1:3" hidden="1" x14ac:dyDescent="0.25">
      <c r="A164" s="204" t="s">
        <v>317</v>
      </c>
      <c r="B164" s="204" t="s">
        <v>338</v>
      </c>
      <c r="C164" s="206" t="s">
        <v>197</v>
      </c>
    </row>
    <row r="165" spans="1:3" hidden="1" x14ac:dyDescent="0.25">
      <c r="A165" s="205" t="s">
        <v>339</v>
      </c>
      <c r="B165" s="205" t="s">
        <v>347</v>
      </c>
      <c r="C165" s="205" t="s">
        <v>197</v>
      </c>
    </row>
    <row r="166" spans="1:3" hidden="1" x14ac:dyDescent="0.25">
      <c r="A166" s="204" t="s">
        <v>340</v>
      </c>
      <c r="B166" s="204" t="s">
        <v>348</v>
      </c>
      <c r="C166" s="204" t="s">
        <v>197</v>
      </c>
    </row>
    <row r="167" spans="1:3" hidden="1" x14ac:dyDescent="0.25">
      <c r="A167" s="205" t="s">
        <v>341</v>
      </c>
      <c r="B167" s="205" t="s">
        <v>349</v>
      </c>
      <c r="C167" s="205" t="s">
        <v>197</v>
      </c>
    </row>
    <row r="168" spans="1:3" hidden="1" x14ac:dyDescent="0.25">
      <c r="A168" s="204" t="s">
        <v>342</v>
      </c>
      <c r="B168" s="204" t="s">
        <v>350</v>
      </c>
      <c r="C168" s="204" t="s">
        <v>197</v>
      </c>
    </row>
    <row r="169" spans="1:3" hidden="1" x14ac:dyDescent="0.25">
      <c r="A169" s="205" t="s">
        <v>343</v>
      </c>
      <c r="B169" s="205" t="s">
        <v>351</v>
      </c>
      <c r="C169" s="205" t="s">
        <v>197</v>
      </c>
    </row>
    <row r="170" spans="1:3" hidden="1" x14ac:dyDescent="0.25">
      <c r="A170" s="204" t="s">
        <v>344</v>
      </c>
      <c r="B170" s="204" t="s">
        <v>352</v>
      </c>
      <c r="C170" s="204" t="s">
        <v>197</v>
      </c>
    </row>
    <row r="171" spans="1:3" hidden="1" x14ac:dyDescent="0.25">
      <c r="A171" s="205" t="s">
        <v>345</v>
      </c>
      <c r="B171" s="205" t="s">
        <v>353</v>
      </c>
      <c r="C171" s="205" t="s">
        <v>197</v>
      </c>
    </row>
    <row r="172" spans="1:3" hidden="1" x14ac:dyDescent="0.25">
      <c r="A172" s="204" t="s">
        <v>346</v>
      </c>
      <c r="B172" s="204" t="s">
        <v>354</v>
      </c>
      <c r="C172" s="204" t="s">
        <v>197</v>
      </c>
    </row>
    <row r="173" spans="1:3" ht="26.25" hidden="1" x14ac:dyDescent="0.25">
      <c r="A173" s="215" t="s">
        <v>297</v>
      </c>
      <c r="B173" s="221" t="s">
        <v>318</v>
      </c>
      <c r="C173" s="217" t="s">
        <v>197</v>
      </c>
    </row>
    <row r="174" spans="1:3" ht="26.25" hidden="1" x14ac:dyDescent="0.25">
      <c r="A174" s="205" t="s">
        <v>298</v>
      </c>
      <c r="B174" s="212" t="s">
        <v>319</v>
      </c>
      <c r="C174" s="207" t="s">
        <v>197</v>
      </c>
    </row>
    <row r="175" spans="1:3" ht="26.25" hidden="1" x14ac:dyDescent="0.25">
      <c r="A175" s="204" t="s">
        <v>299</v>
      </c>
      <c r="B175" s="213" t="s">
        <v>320</v>
      </c>
      <c r="C175" s="206" t="s">
        <v>197</v>
      </c>
    </row>
    <row r="176" spans="1:3" ht="26.25" hidden="1" x14ac:dyDescent="0.25">
      <c r="A176" s="205" t="s">
        <v>300</v>
      </c>
      <c r="B176" s="212" t="s">
        <v>321</v>
      </c>
      <c r="C176" s="207" t="s">
        <v>197</v>
      </c>
    </row>
    <row r="177" spans="1:3" ht="26.25" hidden="1" x14ac:dyDescent="0.25">
      <c r="A177" s="204" t="s">
        <v>301</v>
      </c>
      <c r="B177" s="213" t="s">
        <v>322</v>
      </c>
      <c r="C177" s="206" t="s">
        <v>197</v>
      </c>
    </row>
    <row r="178" spans="1:3" ht="26.25" hidden="1" x14ac:dyDescent="0.25">
      <c r="A178" s="205" t="s">
        <v>302</v>
      </c>
      <c r="B178" s="212" t="s">
        <v>323</v>
      </c>
      <c r="C178" s="207" t="s">
        <v>197</v>
      </c>
    </row>
    <row r="179" spans="1:3" ht="26.25" hidden="1" x14ac:dyDescent="0.25">
      <c r="A179" s="204" t="s">
        <v>303</v>
      </c>
      <c r="B179" s="213" t="s">
        <v>324</v>
      </c>
      <c r="C179" s="206" t="s">
        <v>197</v>
      </c>
    </row>
    <row r="180" spans="1:3" ht="26.25" hidden="1" x14ac:dyDescent="0.25">
      <c r="A180" s="205" t="s">
        <v>310</v>
      </c>
      <c r="B180" s="212" t="s">
        <v>331</v>
      </c>
      <c r="C180" s="207" t="s">
        <v>197</v>
      </c>
    </row>
    <row r="181" spans="1:3" ht="26.25" hidden="1" x14ac:dyDescent="0.25">
      <c r="A181" s="204" t="s">
        <v>311</v>
      </c>
      <c r="B181" s="213" t="s">
        <v>332</v>
      </c>
      <c r="C181" s="206" t="s">
        <v>197</v>
      </c>
    </row>
    <row r="182" spans="1:3" ht="26.25" hidden="1" x14ac:dyDescent="0.25">
      <c r="A182" s="205" t="s">
        <v>312</v>
      </c>
      <c r="B182" s="212" t="s">
        <v>333</v>
      </c>
      <c r="C182" s="207" t="s">
        <v>197</v>
      </c>
    </row>
    <row r="183" spans="1:3" hidden="1" x14ac:dyDescent="0.25">
      <c r="A183" s="205" t="s">
        <v>339</v>
      </c>
      <c r="B183" s="205" t="s">
        <v>347</v>
      </c>
      <c r="C183" s="205" t="s">
        <v>197</v>
      </c>
    </row>
    <row r="184" spans="1:3" hidden="1" x14ac:dyDescent="0.25">
      <c r="A184" s="204" t="s">
        <v>340</v>
      </c>
      <c r="B184" s="204" t="s">
        <v>348</v>
      </c>
      <c r="C184" s="204" t="s">
        <v>197</v>
      </c>
    </row>
    <row r="185" spans="1:3" hidden="1" x14ac:dyDescent="0.25">
      <c r="A185" s="205" t="s">
        <v>341</v>
      </c>
      <c r="B185" s="205" t="s">
        <v>349</v>
      </c>
      <c r="C185" s="205" t="s">
        <v>197</v>
      </c>
    </row>
    <row r="186" spans="1:3" hidden="1" x14ac:dyDescent="0.25">
      <c r="A186" s="204" t="s">
        <v>342</v>
      </c>
      <c r="B186" s="204" t="s">
        <v>350</v>
      </c>
      <c r="C186" s="204" t="s">
        <v>197</v>
      </c>
    </row>
    <row r="187" spans="1:3" ht="18.600000000000001" hidden="1" customHeight="1" x14ac:dyDescent="0.25">
      <c r="A187" s="205" t="s">
        <v>343</v>
      </c>
      <c r="B187" s="205" t="s">
        <v>351</v>
      </c>
      <c r="C187" s="205" t="s">
        <v>197</v>
      </c>
    </row>
    <row r="188" spans="1:3" ht="20.45" hidden="1" customHeight="1" x14ac:dyDescent="0.25">
      <c r="A188" s="204" t="s">
        <v>344</v>
      </c>
      <c r="B188" s="204" t="s">
        <v>352</v>
      </c>
      <c r="C188" s="204" t="s">
        <v>197</v>
      </c>
    </row>
  </sheetData>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8458-8176-4794-B6AB-975ADBB7F45F}">
  <dimension ref="A1:M79"/>
  <sheetViews>
    <sheetView zoomScaleNormal="100" workbookViewId="0">
      <selection activeCell="S30" sqref="S30"/>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f>Instructions!P4</f>
        <v>0</v>
      </c>
      <c r="D5" s="41"/>
      <c r="E5" s="12"/>
      <c r="F5" s="12"/>
      <c r="G5" s="13"/>
      <c r="H5" s="14"/>
      <c r="I5" s="14" t="s">
        <v>4</v>
      </c>
      <c r="J5" s="15">
        <f ca="1" xml:space="preserve"> TODAY()</f>
        <v>46036</v>
      </c>
    </row>
    <row r="6" spans="1:10" ht="6" customHeight="1" x14ac:dyDescent="0.2">
      <c r="A6" s="11"/>
      <c r="B6" s="11"/>
      <c r="C6" s="274"/>
      <c r="D6" s="274"/>
      <c r="E6" s="12"/>
      <c r="F6" s="12"/>
      <c r="G6" s="13"/>
      <c r="H6" s="14"/>
      <c r="I6" s="14"/>
      <c r="J6" s="15"/>
    </row>
    <row r="7" spans="1:10" x14ac:dyDescent="0.2">
      <c r="A7" s="11" t="s">
        <v>3</v>
      </c>
      <c r="B7" s="11"/>
      <c r="C7" s="298">
        <f>Instructions!P5</f>
        <v>0</v>
      </c>
      <c r="D7" s="298"/>
      <c r="E7" s="298"/>
      <c r="F7" s="298"/>
      <c r="G7" s="298"/>
      <c r="H7" s="145"/>
      <c r="I7" s="145" t="s">
        <v>104</v>
      </c>
      <c r="J7" s="1" t="s">
        <v>430</v>
      </c>
    </row>
    <row r="8" spans="1:10" ht="6" customHeight="1" x14ac:dyDescent="0.2">
      <c r="A8" s="11"/>
      <c r="B8" s="11"/>
      <c r="C8" s="274"/>
      <c r="D8" s="274"/>
      <c r="E8" s="274"/>
      <c r="F8" s="274"/>
      <c r="G8" s="274"/>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273"/>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IFERROR(VLOOKUP(C15,inputSchB!$A$2:$F$188,6,FALSE),"")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IFERROR(VLOOKUP(C17,inputSchB!$A$2:$F$188,6,FALSE),"")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IFERROR(VLOOKUP(C19,inputSchB!$A$2:$F$188,6,FALSE),"")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IFERROR(VLOOKUP(C21,inputSchB!$A$2:$F$188,6,FALSE),"")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IFERROR(VLOOKUP(C23,inputSchB!$A$2:$F$188,6,FALSE),"")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IFERROR(VLOOKUP(C25,inputSchB!$A$2:$F$188,6,FALSE),"")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IFERROR(VLOOKUP(C40,inputSchB!$A$2:$F$188,6,FALSE),"")</f>
        <v/>
      </c>
      <c r="I40" s="239"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IFERROR(VLOOKUP(C42,inputSchB!$A$2:$F$188,6,FALSE),"")</f>
        <v/>
      </c>
      <c r="I42" s="239"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IFERROR(VLOOKUP(C44,inputSchB!$A$2:$F$188,6,FALSE),"")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IFERROR(VLOOKUP(C46,inputSchB!$A$2:$F$188,6,FALSE),"")</f>
        <v/>
      </c>
      <c r="I46" s="239" t="str">
        <f>IFERROR(H46/G46,"")</f>
        <v/>
      </c>
      <c r="J46" s="281" t="str">
        <f>IF(AND(ISNUMBER(E46),ISNUMBER(H46)),IF(E46*H46&gt;=1000,(E46*H46),"-"),"-")</f>
        <v>-</v>
      </c>
    </row>
    <row r="47" spans="1:10" x14ac:dyDescent="0.2">
      <c r="A47" s="295" t="s">
        <v>7</v>
      </c>
      <c r="B47" s="295"/>
      <c r="C47" s="295"/>
      <c r="D47" s="295"/>
      <c r="E47" s="295"/>
      <c r="F47" s="295"/>
      <c r="G47" s="295"/>
      <c r="H47" s="295"/>
      <c r="I47" s="272"/>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72"/>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187"/>
    </row>
    <row r="79" spans="1:10" x14ac:dyDescent="0.2">
      <c r="A79" s="7"/>
      <c r="B79" s="7"/>
      <c r="C79" s="280" t="s">
        <v>458</v>
      </c>
      <c r="D79" s="40"/>
      <c r="E79" s="8"/>
      <c r="F79" s="8"/>
      <c r="G79" s="9"/>
      <c r="H79" s="9"/>
      <c r="I79" s="9"/>
      <c r="J79" s="187" t="str">
        <f>Instructions!M11</f>
        <v>EFL-TM-ESS-01(13)</v>
      </c>
    </row>
  </sheetData>
  <dataConsolidate/>
  <mergeCells count="11">
    <mergeCell ref="A36:J36"/>
    <mergeCell ref="A1:J1"/>
    <mergeCell ref="C7:G7"/>
    <mergeCell ref="A12:J12"/>
    <mergeCell ref="A27:J27"/>
    <mergeCell ref="A28:J28"/>
    <mergeCell ref="A37:J37"/>
    <mergeCell ref="A47:H47"/>
    <mergeCell ref="A50:J50"/>
    <mergeCell ref="A51:J51"/>
    <mergeCell ref="A60:H60"/>
  </mergeCells>
  <conditionalFormatting sqref="H15">
    <cfRule type="expression" dxfId="52" priority="18">
      <formula>AND($H15=0,$E15&gt;0)=TRUE</formula>
    </cfRule>
  </conditionalFormatting>
  <conditionalFormatting sqref="H17">
    <cfRule type="expression" dxfId="51" priority="8">
      <formula>AND($H17=0,$E17&gt;0)=TRUE</formula>
    </cfRule>
  </conditionalFormatting>
  <conditionalFormatting sqref="H19">
    <cfRule type="expression" dxfId="50" priority="7">
      <formula>AND($H19=0,$E19&gt;0)=TRUE</formula>
    </cfRule>
  </conditionalFormatting>
  <conditionalFormatting sqref="H21">
    <cfRule type="expression" dxfId="49" priority="6">
      <formula>AND($H21=0,$E21&gt;0)=TRUE</formula>
    </cfRule>
  </conditionalFormatting>
  <conditionalFormatting sqref="H23">
    <cfRule type="expression" dxfId="48" priority="5">
      <formula>AND($H23=0,$E23&gt;0)=TRUE</formula>
    </cfRule>
  </conditionalFormatting>
  <conditionalFormatting sqref="H25">
    <cfRule type="expression" dxfId="47" priority="4">
      <formula>AND($H25=0,$E25&gt;0)=TRUE</formula>
    </cfRule>
  </conditionalFormatting>
  <conditionalFormatting sqref="H40">
    <cfRule type="expression" dxfId="46" priority="9">
      <formula>AND($H40=0,$E40&gt;0)=TRUE</formula>
    </cfRule>
  </conditionalFormatting>
  <conditionalFormatting sqref="H42">
    <cfRule type="expression" dxfId="45" priority="3">
      <formula>AND($H42=0,$E42&gt;0)=TRUE</formula>
    </cfRule>
  </conditionalFormatting>
  <conditionalFormatting sqref="H44">
    <cfRule type="expression" dxfId="44" priority="2">
      <formula>AND($H44=0,$E44&gt;0)=TRUE</formula>
    </cfRule>
  </conditionalFormatting>
  <conditionalFormatting sqref="H46">
    <cfRule type="expression" dxfId="43" priority="1">
      <formula>AND($H46=0,$E46&gt;0)=TRUE</formula>
    </cfRule>
  </conditionalFormatting>
  <dataValidations count="9">
    <dataValidation allowBlank="1" showInputMessage="1" showErrorMessage="1" prompt="If your Q_Ton unit price is highlighted in red, ensure quantity and unit price have both been entered, then check the line item in the &quot;inputSchA&quot; tab to review further instructions. " sqref="H15 H44 H40 H17 H19 H21 H23 H42 H25 H46" xr:uid="{8DC7E0A6-12DD-4F9F-8EF1-6895B1DDDE30}"/>
    <dataValidation type="list" allowBlank="1" showErrorMessage="1" promptTitle="Select Schedule Type " prompt="Select Schedule or Option " sqref="H7" xr:uid="{6949364B-2BB0-4F74-9801-007CEB6A4975}">
      <formula1>", Schedule: , Option: "</formula1>
    </dataValidation>
    <dataValidation type="list" allowBlank="1" showInputMessage="1" showErrorMessage="1" promptTitle="Select Schedule Type " prompt="Select Schedule or Option " sqref="I7" xr:uid="{F111DFAF-9206-4A37-A4B5-C9F981268C02}">
      <formula1>", Schedule: , Option: "</formula1>
    </dataValidation>
    <dataValidation allowBlank="1" showErrorMessage="1" promptTitle="Enter project name" prompt="Example:  Pinto Basin Road" sqref="C7:G7" xr:uid="{F3DBCFEA-D680-467D-BF19-61F2B34A4B4F}"/>
    <dataValidation allowBlank="1" showErrorMessage="1" promptTitle="Enter project number" prompt="Example:  CA FTNP JOTR 11(5)" sqref="C5:D5" xr:uid="{4D446293-08A3-42B3-B033-EB79037A7006}"/>
    <dataValidation allowBlank="1" showInputMessage="1" showErrorMessage="1" error="Please use the drop-down menu to select the FP version" promptTitle="Select FP Version" prompt="In &quot;Instructions&quot; Tab" sqref="E3" xr:uid="{56B046B3-7521-4900-8EA3-A56442849EFA}"/>
    <dataValidation type="list" allowBlank="1" showInputMessage="1" showErrorMessage="1" error="Please use the drop-down menu to select the project units" promptTitle="Select Units" prompt="Select Metric or US Customary" sqref="J9" xr:uid="{E0549898-CBD5-45FF-8B27-B035EC1ADC5F}">
      <formula1>"METRIC, US CUSTOMARY"</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77BF8A7F-6D53-4641-917A-08764F909DBA}">
      <formula1>"  , A, B, C, D, E, F, G, W, X, Y, Z"</formula1>
    </dataValidation>
    <dataValidation type="whole" operator="greaterThanOrEqual" allowBlank="1" showInputMessage="1" showErrorMessage="1" error="Bid decimals set to zero._x000a__x000a_Contact Heidi Hirsbrunner (X3622)_x000a_                _x000a_to modify Incentive Spreadsheet." sqref="E31 E33:E35 E40:E42 E44:E46" xr:uid="{3E0187A3-F09C-4186-893A-CCE219484CC0}">
      <formula1>0</formula1>
    </dataValidation>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152D093-E74F-4C70-B5CF-EBDF1F6B0BA9}">
          <x14:formula1>
            <xm:f>inputSchA!$A$2:$A$143</xm:f>
          </x14:formula1>
          <xm:sqref>C15 C17 C19 C21 C23 C25</xm:sqref>
        </x14:dataValidation>
        <x14:dataValidation type="list" allowBlank="1" showInputMessage="1" showErrorMessage="1" prompt="For FP-24 Projects, select applicable 404 pay item from the list_x000a_For FP-14 Projects, select pay item 43101-0000 or 43102-0000 from the list" xr:uid="{D4943764-810C-4673-AE02-0B34FF867C8B}">
          <x14:formula1>
            <xm:f>inputSchA!$A$136:$A$143</xm:f>
          </x14:formula1>
          <xm:sqref>C46 C40 C42 C44</xm:sqref>
        </x14:dataValidation>
        <x14:dataValidation type="list" allowBlank="1" showInputMessage="1" showErrorMessage="1" xr:uid="{BE46F30C-48E1-4410-BEAF-22510B5FC5F2}">
          <x14:formula1>
            <xm:f>inputSchA!$A$144:$A$188</xm:f>
          </x14:formula1>
          <xm:sqref>A54 C35 C33 A58 A56 C31</xm:sqref>
        </x14:dataValidation>
        <x14:dataValidation type="list" allowBlank="1" showInputMessage="1" showErrorMessage="1" xr:uid="{9BA7FFBF-41F2-4B7A-BA9A-33758F716EC0}">
          <x14:formula1>
            <xm:f>inputSchA!$A$142:$A$142</xm:f>
          </x14:formula1>
          <xm:sqref>C45</xm:sqref>
        </x14:dataValidation>
        <x14:dataValidation type="list" allowBlank="1" showInputMessage="1" showErrorMessage="1" xr:uid="{36D5020D-3306-4AF3-B229-5691344C66DE}">
          <x14:formula1>
            <xm:f>inputSchA!$A$144:$A$172</xm:f>
          </x14:formula1>
          <xm:sqref>C41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8231-57CF-47F6-9167-060A083FD3FA}">
  <dimension ref="A1:P188"/>
  <sheetViews>
    <sheetView workbookViewId="0">
      <pane xSplit="3" ySplit="1" topLeftCell="D32" activePane="bottomRight" state="frozen"/>
      <selection activeCell="T35" sqref="T35"/>
      <selection pane="topRight" activeCell="T35" sqref="T35"/>
      <selection pane="bottomLeft" activeCell="T35" sqref="T35"/>
      <selection pane="bottomRight" activeCell="F136" sqref="F136:F143"/>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B'!$C$15:$E$58,3,FALSE),"")</f>
        <v/>
      </c>
      <c r="E2" s="238" t="str">
        <f>IFERROR(VLOOKUP($A2,'SCH B'!$C$15:$G$58,5,FALSE),"")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B'!$C$15:$E$58,3,FALSE),"")</f>
        <v/>
      </c>
      <c r="E3" s="238" t="str">
        <f>IFERROR(VLOOKUP($A3,'SCH B'!$C$15:$G$58,5,FALSE),"")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B'!$C$15:$E$58,3,FALSE),"")</f>
        <v/>
      </c>
      <c r="E4" s="238" t="str">
        <f>IFERROR(VLOOKUP($A4,'SCH B'!$C$15:$G$58,5,FALSE),"")</f>
        <v/>
      </c>
      <c r="F4" s="26" t="e">
        <f t="shared" si="0"/>
        <v>#VALUE!</v>
      </c>
    </row>
    <row r="5" spans="1:6" x14ac:dyDescent="0.25">
      <c r="A5" s="205" t="s">
        <v>146</v>
      </c>
      <c r="B5" s="205" t="s">
        <v>200</v>
      </c>
      <c r="C5" s="207" t="s">
        <v>197</v>
      </c>
      <c r="D5" s="223" t="str">
        <f>IFERROR(VLOOKUP($A5,'SCH B'!$C$15:$E$58,3,FALSE),"")</f>
        <v/>
      </c>
      <c r="E5" s="238" t="str">
        <f>IFERROR(VLOOKUP($A5,'SCH B'!$C$15:$G$58,5,FALSE),"")</f>
        <v/>
      </c>
      <c r="F5" s="26" t="e">
        <f t="shared" si="0"/>
        <v>#VALUE!</v>
      </c>
    </row>
    <row r="6" spans="1:6" x14ac:dyDescent="0.25">
      <c r="A6" s="204" t="s">
        <v>147</v>
      </c>
      <c r="B6" s="204" t="s">
        <v>201</v>
      </c>
      <c r="C6" s="206" t="s">
        <v>197</v>
      </c>
      <c r="D6" s="223" t="str">
        <f>IFERROR(VLOOKUP($A6,'SCH B'!$C$15:$E$58,3,FALSE),"")</f>
        <v/>
      </c>
      <c r="E6" s="238" t="str">
        <f>IFERROR(VLOOKUP($A6,'SCH B'!$C$15:$G$58,5,FALSE),"")</f>
        <v/>
      </c>
      <c r="F6" s="26" t="e">
        <f t="shared" si="0"/>
        <v>#VALUE!</v>
      </c>
    </row>
    <row r="7" spans="1:6" x14ac:dyDescent="0.25">
      <c r="A7" s="205" t="s">
        <v>148</v>
      </c>
      <c r="B7" s="205" t="s">
        <v>196</v>
      </c>
      <c r="C7" s="207" t="s">
        <v>29</v>
      </c>
      <c r="D7" s="223" t="str">
        <f>IFERROR(VLOOKUP($A7,'SCH B'!$C$15:$E$58,3,FALSE),"")</f>
        <v/>
      </c>
      <c r="E7" s="238" t="str">
        <f>IFERROR(VLOOKUP($A7,'SCH B'!$C$15:$G$58,5,FALSE),"")</f>
        <v/>
      </c>
      <c r="F7" s="26" t="e">
        <f>IF(AND(D7&gt;=7142.86,D7&lt;14285.71),ROUND(E7*0.01,2),IF(AND(D7&gt;=14285.71,D7&lt;16666.67),ROUND(E7*0.03,2),IF(AND(D7&gt;=16666.67,D7&lt;19047.62),ROUND(E7*0.04,2),IF(AND(D7&gt;=19047.62),ROUND(E7*0.05,2),"-"))))</f>
        <v>#VALUE!</v>
      </c>
    </row>
    <row r="8" spans="1:6" x14ac:dyDescent="0.25">
      <c r="A8" s="204" t="s">
        <v>149</v>
      </c>
      <c r="B8" s="204" t="s">
        <v>202</v>
      </c>
      <c r="C8" s="206" t="s">
        <v>29</v>
      </c>
      <c r="D8" s="223" t="str">
        <f>IFERROR(VLOOKUP($A8,'SCH B'!$C$15:$E$58,3,FALSE),"")</f>
        <v/>
      </c>
      <c r="E8" s="238" t="str">
        <f>IFERROR(VLOOKUP($A8,'SCH B'!$C$15:$G$58,5,FALSE),"")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B'!$C$15:$E$58,3,FALSE),"")</f>
        <v/>
      </c>
      <c r="E9" s="238" t="str">
        <f>IFERROR(VLOOKUP($A9,'SCH B'!$C$15:$G$58,5,FALSE),"")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B'!$C$15:$E$58,3,FALSE),"")</f>
        <v/>
      </c>
      <c r="E10" s="238" t="str">
        <f>IFERROR(VLOOKUP($A10,'SCH B'!$C$15:$G$58,5,FALSE),"")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B'!$C$15:$E$58,3,FALSE),"")</f>
        <v/>
      </c>
      <c r="E11" s="238" t="str">
        <f>IFERROR(VLOOKUP($A11,'SCH B'!$C$15:$G$58,5,FALSE),"")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B'!$C$15:$E$58,3,FALSE),"")</f>
        <v/>
      </c>
      <c r="E12" s="238" t="str">
        <f>IFERROR(VLOOKUP($A12,'SCH B'!$C$15:$G$58,5,FALSE),"")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B'!$C$15:$E$58,3,FALSE),"")</f>
        <v/>
      </c>
      <c r="E13" s="238" t="str">
        <f>IFERROR(VLOOKUP($A13,'SCH B'!$C$15:$G$58,5,FALSE),"")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B'!$C$15:$E$58,3,FALSE),"")</f>
        <v/>
      </c>
      <c r="E14" s="238" t="str">
        <f>IFERROR(VLOOKUP($A14,'SCH B'!$C$15:$G$58,5,FALSE),"")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B'!$C$15:$E$58,3,FALSE),"")</f>
        <v/>
      </c>
      <c r="E15" s="238" t="str">
        <f>IFERROR(VLOOKUP($A15,'SCH B'!$C$15:$G$58,5,FALSE),"")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B'!$C$15:$E$58,3,FALSE),"")</f>
        <v/>
      </c>
      <c r="E16" s="238" t="str">
        <f>IFERROR(VLOOKUP($A16,'SCH B'!$C$15:$G$58,5,FALSE),"")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B'!$C$15:$E$58,3,FALSE),"")</f>
        <v/>
      </c>
      <c r="E17" s="238" t="str">
        <f>IFERROR(VLOOKUP($A17,'SCH B'!$C$15:$G$58,5,FALSE),"")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B'!$C$15:$E$58,3,FALSE),"")</f>
        <v/>
      </c>
      <c r="E18" s="238" t="str">
        <f>IFERROR(VLOOKUP($A18,'SCH B'!$C$15:$G$58,5,FALSE),"")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B'!$C$15:$E$58,3,FALSE),"")</f>
        <v/>
      </c>
      <c r="E19" s="238" t="str">
        <f>IFERROR(VLOOKUP($A19,'SCH B'!$C$15:$G$58,5,FALSE),"")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B'!$C$15:$E$58,3,FALSE),"")</f>
        <v/>
      </c>
      <c r="E20" s="238" t="str">
        <f>IFERROR(VLOOKUP($A20,'SCH B'!$C$15:$G$58,5,FALSE),"")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B'!$C$15:$E$58,3,FALSE),"")</f>
        <v/>
      </c>
      <c r="E21" s="238" t="str">
        <f>IFERROR(VLOOKUP($A21,'SCH B'!$C$15:$G$58,5,FALSE),"")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B'!$C$15:$E$58,3,FALSE),"")</f>
        <v/>
      </c>
      <c r="E22" s="238" t="str">
        <f>IFERROR(VLOOKUP($A22,'SCH B'!$C$15:$G$58,5,FALSE),"")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B'!$C$15:$E$58,3,FALSE),"")</f>
        <v/>
      </c>
      <c r="E23" s="238" t="str">
        <f>IFERROR(VLOOKUP($A23,'SCH B'!$C$15:$G$58,5,FALSE),"")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B'!$C$15:$E$58,3,FALSE),"")</f>
        <v/>
      </c>
      <c r="E24" s="238" t="str">
        <f>IFERROR(VLOOKUP($A24,'SCH B'!$C$15:$G$58,5,FALSE),"")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B'!$C$15:$E$58,3,FALSE),"")</f>
        <v/>
      </c>
      <c r="E25" s="238" t="str">
        <f>IFERROR(VLOOKUP($A25,'SCH B'!$C$15:$G$58,5,FALSE),"")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B'!$C$15:$E$58,3,FALSE),"")</f>
        <v/>
      </c>
      <c r="E26" s="238" t="str">
        <f>IFERROR(VLOOKUP($A26,'SCH B'!$C$15:$G$58,5,FALSE),"")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B'!$C$15:$E$58,3,FALSE),"")</f>
        <v/>
      </c>
      <c r="E27" s="238" t="str">
        <f>IFERROR(VLOOKUP($A27,'SCH B'!$C$15:$G$58,5,FALSE),"")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B'!$C$15:$E$58,3,FALSE),"")</f>
        <v/>
      </c>
      <c r="E28" s="238" t="str">
        <f>IFERROR(VLOOKUP($A28,'SCH B'!$C$15:$G$58,5,FALSE),"")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B'!$C$15:$E$58,3,FALSE),"")</f>
        <v/>
      </c>
      <c r="E29" s="238" t="str">
        <f>IFERROR(VLOOKUP($A29,'SCH B'!$C$15:$G$58,5,FALSE),"")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B'!$C$15:$E$58,3,FALSE),"")</f>
        <v/>
      </c>
      <c r="E30" s="238" t="str">
        <f>IFERROR(VLOOKUP($A30,'SCH B'!$C$15:$G$58,5,FALSE),"")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B'!$C$15:$E$58,3,FALSE),"")</f>
        <v/>
      </c>
      <c r="E31" s="238" t="str">
        <f>IFERROR(VLOOKUP($A31,'SCH B'!$C$15:$G$58,5,FALSE),"")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B'!$C$15:$E$58,3,FALSE),"")</f>
        <v/>
      </c>
      <c r="E32" s="238" t="str">
        <f>IFERROR(VLOOKUP($A32,'SCH B'!$C$15:$G$58,5,FALSE),"")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B'!$C$15:$E$58,3,FALSE),"")</f>
        <v/>
      </c>
      <c r="E33" s="238" t="str">
        <f>IFERROR(VLOOKUP($A33,'SCH B'!$C$15:$G$58,5,FALSE),"")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B'!$C$15:$E$58,3,FALSE),"")</f>
        <v/>
      </c>
      <c r="E34" s="238" t="str">
        <f>IFERROR(VLOOKUP($A34,'SCH B'!$C$15:$G$58,5,FALSE),"")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B'!$C$15:$E$58,3,FALSE),"")</f>
        <v/>
      </c>
      <c r="E35" s="238" t="str">
        <f>IFERROR(VLOOKUP($A35,'SCH B'!$C$15:$G$58,5,FALSE),"")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B'!$C$15:$E$58,3,FALSE),"")</f>
        <v/>
      </c>
      <c r="E36" s="238" t="str">
        <f>IFERROR(VLOOKUP($A36,'SCH B'!$C$15:$G$58,5,FALSE),"")</f>
        <v/>
      </c>
      <c r="F36" s="26" t="e">
        <f t="shared" si="1"/>
        <v>#VALUE!</v>
      </c>
    </row>
    <row r="37" spans="1:6" x14ac:dyDescent="0.25">
      <c r="A37" s="205" t="s">
        <v>141</v>
      </c>
      <c r="B37" s="205" t="s">
        <v>201</v>
      </c>
      <c r="C37" s="207" t="s">
        <v>227</v>
      </c>
      <c r="D37" s="223" t="str">
        <f>IFERROR(VLOOKUP($A37,'SCH B'!$C$15:$E$58,3,FALSE),"")</f>
        <v/>
      </c>
      <c r="E37" s="238" t="str">
        <f>IFERROR(VLOOKUP($A37,'SCH B'!$C$15:$G$58,5,FALSE),"")</f>
        <v/>
      </c>
      <c r="F37" s="26" t="e">
        <f t="shared" si="1"/>
        <v>#VALUE!</v>
      </c>
    </row>
    <row r="38" spans="1:6" x14ac:dyDescent="0.25">
      <c r="A38" s="204" t="s">
        <v>178</v>
      </c>
      <c r="B38" s="204" t="s">
        <v>228</v>
      </c>
      <c r="C38" s="206" t="s">
        <v>197</v>
      </c>
      <c r="D38" s="223" t="str">
        <f>IFERROR(VLOOKUP($A38,'SCH B'!$C$15:$E$58,3,FALSE),"")</f>
        <v/>
      </c>
      <c r="E38" s="238" t="str">
        <f>IFERROR(VLOOKUP($A38,'SCH B'!$C$15:$G$58,5,FALSE),"")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B'!$C$15:$E$58,3,FALSE),"")</f>
        <v/>
      </c>
      <c r="E39" s="238" t="str">
        <f>IFERROR(VLOOKUP($A39,'SCH B'!$C$15:$G$58,5,FALSE),"")</f>
        <v/>
      </c>
      <c r="F39" s="26" t="e">
        <f t="shared" si="2"/>
        <v>#VALUE!</v>
      </c>
    </row>
    <row r="40" spans="1:6" x14ac:dyDescent="0.25">
      <c r="A40" s="204" t="s">
        <v>180</v>
      </c>
      <c r="B40" s="204" t="s">
        <v>230</v>
      </c>
      <c r="C40" s="206" t="s">
        <v>197</v>
      </c>
      <c r="D40" s="223" t="str">
        <f>IFERROR(VLOOKUP($A40,'SCH B'!$C$15:$E$58,3,FALSE),"")</f>
        <v/>
      </c>
      <c r="E40" s="238" t="str">
        <f>IFERROR(VLOOKUP($A40,'SCH B'!$C$15:$G$58,5,FALSE),"")</f>
        <v/>
      </c>
      <c r="F40" s="26" t="e">
        <f t="shared" si="2"/>
        <v>#VALUE!</v>
      </c>
    </row>
    <row r="41" spans="1:6" x14ac:dyDescent="0.25">
      <c r="A41" s="205" t="s">
        <v>181</v>
      </c>
      <c r="B41" s="205" t="s">
        <v>231</v>
      </c>
      <c r="C41" s="207" t="s">
        <v>29</v>
      </c>
      <c r="D41" s="223" t="str">
        <f>IFERROR(VLOOKUP($A41,'SCH B'!$C$15:$E$58,3,FALSE),"")</f>
        <v/>
      </c>
      <c r="E41" s="238" t="str">
        <f>IFERROR(VLOOKUP($A41,'SCH B'!$C$15:$G$58,5,FALSE),"")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B'!$C$15:$E$58,3,FALSE),"")</f>
        <v/>
      </c>
      <c r="E42" s="238" t="str">
        <f>IFERROR(VLOOKUP($A42,'SCH B'!$C$15:$G$58,5,FALSE),"")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B'!$C$15:$E$58,3,FALSE),"")</f>
        <v/>
      </c>
      <c r="E43" s="238" t="str">
        <f>IFERROR(VLOOKUP($A43,'SCH B'!$C$15:$G$58,5,FALSE),"")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B'!$C$15:$E$58,3,FALSE),"")</f>
        <v/>
      </c>
      <c r="E44" s="238" t="str">
        <f>IFERROR(VLOOKUP($A44,'SCH B'!$C$15:$G$58,5,FALSE),"")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B'!$C$15:$E$58,3,FALSE),"")</f>
        <v/>
      </c>
      <c r="E45" s="238" t="str">
        <f>IFERROR(VLOOKUP($A45,'SCH B'!$C$15:$G$58,5,FALSE),"")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B'!$C$15:$E$58,3,FALSE),"")</f>
        <v/>
      </c>
      <c r="E46" s="238" t="str">
        <f>IFERROR(VLOOKUP($A46,'SCH B'!$C$15:$G$58,5,FALSE),"")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B'!$C$15:$E$58,3,FALSE),"")</f>
        <v/>
      </c>
      <c r="E47" s="238" t="str">
        <f>IFERROR(VLOOKUP($A47,'SCH B'!$C$15:$G$58,5,FALSE),"")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B'!$C$15:$E$58,3,FALSE),"")</f>
        <v/>
      </c>
      <c r="E48" s="238" t="str">
        <f>IFERROR(VLOOKUP($A48,'SCH B'!$C$15:$G$58,5,FALSE),"")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B'!$C$15:$E$58,3,FALSE),"")</f>
        <v/>
      </c>
      <c r="E49" s="238" t="str">
        <f>IFERROR(VLOOKUP($A49,'SCH B'!$C$15:$G$58,5,FALSE),"")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B'!$C$15:$E$58,3,FALSE),"")</f>
        <v/>
      </c>
      <c r="E50" s="238" t="str">
        <f>IFERROR(VLOOKUP($A50,'SCH B'!$C$15:$G$58,5,FALSE),"")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B'!$C$15:$E$58,3,FALSE),"")</f>
        <v/>
      </c>
      <c r="E51" s="238" t="str">
        <f>IFERROR(VLOOKUP($A51,'SCH B'!$C$15:$G$58,5,FALSE),"")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B'!$C$15:$E$58,3,FALSE),"")</f>
        <v/>
      </c>
      <c r="E52" s="238" t="str">
        <f>IFERROR(VLOOKUP($A52,'SCH B'!$C$15:$G$58,5,FALSE),"")</f>
        <v/>
      </c>
      <c r="F52" s="26" t="e">
        <f t="shared" si="3"/>
        <v>#VALUE!</v>
      </c>
    </row>
    <row r="53" spans="1:6" x14ac:dyDescent="0.25">
      <c r="A53" s="205" t="s">
        <v>193</v>
      </c>
      <c r="B53" s="205" t="s">
        <v>230</v>
      </c>
      <c r="C53" s="207" t="s">
        <v>227</v>
      </c>
      <c r="D53" s="223" t="str">
        <f>IFERROR(VLOOKUP($A53,'SCH B'!$C$15:$E$58,3,FALSE),"")</f>
        <v/>
      </c>
      <c r="E53" s="238" t="str">
        <f>IFERROR(VLOOKUP($A53,'SCH B'!$C$15:$G$58,5,FALSE),"")</f>
        <v/>
      </c>
      <c r="F53" s="26" t="e">
        <f t="shared" si="3"/>
        <v>#VALUE!</v>
      </c>
    </row>
    <row r="54" spans="1:6" x14ac:dyDescent="0.25">
      <c r="A54" s="204" t="s">
        <v>194</v>
      </c>
      <c r="B54" s="204" t="s">
        <v>241</v>
      </c>
      <c r="C54" s="206" t="s">
        <v>197</v>
      </c>
      <c r="D54" s="223" t="str">
        <f>IFERROR(VLOOKUP($A54,'SCH B'!$C$15:$E$58,3,FALSE),"")</f>
        <v/>
      </c>
      <c r="E54" s="238" t="str">
        <f>IFERROR(VLOOKUP($A54,'SCH B'!$C$15:$G$58,5,FALSE),"")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B'!$C$15:$E$58,3,FALSE),"")</f>
        <v/>
      </c>
      <c r="E55" s="238" t="str">
        <f>IFERROR(VLOOKUP($A55,'SCH B'!$C$15:$G$58,5,FALSE),"")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B'!$C$15:$E$58,3,FALSE),"")</f>
        <v/>
      </c>
      <c r="E56" s="238" t="str">
        <f>IFERROR(VLOOKUP($A56,'SCH B'!$C$15:$G$58,5,FALSE),"")</f>
        <v/>
      </c>
      <c r="F56" s="26" t="e">
        <f t="shared" si="4"/>
        <v>#VALUE!</v>
      </c>
    </row>
    <row r="57" spans="1:6" x14ac:dyDescent="0.25">
      <c r="A57" s="247" t="s">
        <v>364</v>
      </c>
      <c r="B57" s="249" t="s">
        <v>367</v>
      </c>
      <c r="C57" s="206" t="s">
        <v>197</v>
      </c>
      <c r="D57" s="223" t="str">
        <f>IFERROR(VLOOKUP($A57,'SCH B'!$C$15:$E$58,3,FALSE),"")</f>
        <v/>
      </c>
      <c r="E57" s="238" t="str">
        <f>IFERROR(VLOOKUP($A57,'SCH B'!$C$15:$G$58,5,FALSE),"")</f>
        <v/>
      </c>
      <c r="F57" s="26" t="e">
        <f t="shared" si="4"/>
        <v>#VALUE!</v>
      </c>
    </row>
    <row r="58" spans="1:6" x14ac:dyDescent="0.25">
      <c r="A58" s="248" t="s">
        <v>368</v>
      </c>
      <c r="B58" s="250" t="s">
        <v>241</v>
      </c>
      <c r="C58" s="250" t="s">
        <v>29</v>
      </c>
      <c r="D58" s="223" t="str">
        <f>IFERROR(VLOOKUP($A58,'SCH B'!$C$15:$E$58,3,FALSE),"")</f>
        <v/>
      </c>
      <c r="E58" s="238" t="str">
        <f>IFERROR(VLOOKUP($A58,'SCH B'!$C$15:$G$58,5,FALSE),"")</f>
        <v/>
      </c>
      <c r="F58" s="26"/>
    </row>
    <row r="59" spans="1:6" x14ac:dyDescent="0.25">
      <c r="A59" s="247" t="s">
        <v>369</v>
      </c>
      <c r="B59" s="249" t="s">
        <v>386</v>
      </c>
      <c r="C59" s="249" t="s">
        <v>29</v>
      </c>
      <c r="D59" s="223" t="str">
        <f>IFERROR(VLOOKUP($A59,'SCH B'!$C$15:$E$58,3,FALSE),"")</f>
        <v/>
      </c>
      <c r="E59" s="238" t="str">
        <f>IFERROR(VLOOKUP($A59,'SCH B'!$C$15:$G$58,5,FALSE),"")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B'!$C$15:$E$58,3,FALSE),"")</f>
        <v/>
      </c>
      <c r="E60" s="238" t="str">
        <f>IFERROR(VLOOKUP($A60,'SCH B'!$C$15:$G$58,5,FALSE),"")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B'!$C$15:$E$58,3,FALSE),"")</f>
        <v/>
      </c>
      <c r="E61" s="238" t="str">
        <f>IFERROR(VLOOKUP($A61,'SCH B'!$C$15:$G$58,5,FALSE),"")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B'!$C$15:$E$58,3,FALSE),"")</f>
        <v/>
      </c>
      <c r="E62" s="238" t="str">
        <f>IFERROR(VLOOKUP($A62,'SCH B'!$C$15:$G$58,5,FALSE),"")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B'!$C$15:$E$58,3,FALSE),"")</f>
        <v/>
      </c>
      <c r="E63" s="238" t="str">
        <f>IFERROR(VLOOKUP($A63,'SCH B'!$C$15:$G$58,5,FALSE),"")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B'!$C$15:$E$58,3,FALSE),"")</f>
        <v/>
      </c>
      <c r="E64" s="238" t="str">
        <f>IFERROR(VLOOKUP($A64,'SCH B'!$C$15:$G$58,5,FALSE),"")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B'!$C$15:$E$58,3,FALSE),"")</f>
        <v/>
      </c>
      <c r="E65" s="238" t="str">
        <f>IFERROR(VLOOKUP($A65,'SCH B'!$C$15:$G$58,5,FALSE),"")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B'!$C$15:$E$58,3,FALSE),"")</f>
        <v/>
      </c>
      <c r="E66" s="238" t="str">
        <f>IFERROR(VLOOKUP($A66,'SCH B'!$C$15:$G$58,5,FALSE),"")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B'!$C$15:$E$58,3,FALSE),"")</f>
        <v/>
      </c>
      <c r="E67" s="238" t="str">
        <f>IFERROR(VLOOKUP($A67,'SCH B'!$C$15:$G$58,5,FALSE),"")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B'!$C$15:$E$58,3,FALSE),"")</f>
        <v/>
      </c>
      <c r="E68" s="238" t="str">
        <f>IFERROR(VLOOKUP($A68,'SCH B'!$C$15:$G$58,5,FALSE),"")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B'!$C$15:$E$58,3,FALSE),"")</f>
        <v/>
      </c>
      <c r="E69" s="238" t="str">
        <f>IFERROR(VLOOKUP($A69,'SCH B'!$C$15:$G$58,5,FALSE),"")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B'!$C$15:$E$58,3,FALSE),"")</f>
        <v/>
      </c>
      <c r="E70" s="238" t="str">
        <f>IFERROR(VLOOKUP($A70,'SCH B'!$C$15:$G$58,5,FALSE),"")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B'!$C$15:$E$58,3,FALSE),"")</f>
        <v/>
      </c>
      <c r="E71" s="238" t="str">
        <f>IFERROR(VLOOKUP($A71,'SCH B'!$C$15:$G$58,5,FALSE),"")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B'!$C$15:$E$58,3,FALSE),"")</f>
        <v/>
      </c>
      <c r="E72" s="238" t="str">
        <f>IFERROR(VLOOKUP($A72,'SCH B'!$C$15:$G$58,5,FALSE),"")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B'!$C$15:$E$58,3,FALSE),"")</f>
        <v/>
      </c>
      <c r="E73" s="238" t="str">
        <f>IFERROR(VLOOKUP($A73,'SCH B'!$C$15:$G$58,5,FALSE),"")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B'!$C$15:$E$58,3,FALSE),"")</f>
        <v/>
      </c>
      <c r="E74" s="238" t="str">
        <f>IFERROR(VLOOKUP($A74,'SCH B'!$C$15:$G$58,5,FALSE),"")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B'!$C$15:$E$58,3,FALSE),"")</f>
        <v/>
      </c>
      <c r="E75" s="238" t="str">
        <f>IFERROR(VLOOKUP($A75,'SCH B'!$C$15:$G$58,5,FALSE),"")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B'!$C$15:$E$58,3,FALSE),"")</f>
        <v/>
      </c>
      <c r="E76" s="238" t="str">
        <f>IFERROR(VLOOKUP($A76,'SCH B'!$C$15:$G$58,5,FALSE),"")</f>
        <v/>
      </c>
      <c r="F76" s="26" t="e">
        <f t="shared" si="5"/>
        <v>#VALUE!</v>
      </c>
    </row>
    <row r="77" spans="1:6" x14ac:dyDescent="0.25">
      <c r="A77" s="247" t="s">
        <v>385</v>
      </c>
      <c r="B77" s="249" t="s">
        <v>367</v>
      </c>
      <c r="C77" s="249" t="s">
        <v>227</v>
      </c>
      <c r="D77" s="223" t="str">
        <f>IFERROR(VLOOKUP($A77,'SCH B'!$C$15:$E$58,3,FALSE),"")</f>
        <v/>
      </c>
      <c r="E77" s="238" t="str">
        <f>IFERROR(VLOOKUP($A77,'SCH B'!$C$15:$G$58,5,FALSE),"")</f>
        <v/>
      </c>
      <c r="F77" s="26" t="e">
        <f t="shared" si="5"/>
        <v>#VALUE!</v>
      </c>
    </row>
    <row r="78" spans="1:6" x14ac:dyDescent="0.25">
      <c r="A78" s="255" t="s">
        <v>401</v>
      </c>
      <c r="B78" s="256" t="s">
        <v>261</v>
      </c>
      <c r="C78" s="256" t="s">
        <v>197</v>
      </c>
      <c r="D78" s="223" t="str">
        <f>IFERROR(VLOOKUP($A78,'SCH B'!$C$15:$E$58,3,FALSE),"")</f>
        <v/>
      </c>
      <c r="E78" s="238" t="str">
        <f>IFERROR(VLOOKUP($A78,'SCH B'!$C$15:$G$58,5,FALSE),"")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B'!$C$15:$E$58,3,FALSE),"")</f>
        <v/>
      </c>
      <c r="E79" s="238" t="str">
        <f>IFERROR(VLOOKUP($A79,'SCH B'!$C$15:$G$58,5,FALSE),"")</f>
        <v/>
      </c>
      <c r="F79" s="26" t="e">
        <f t="shared" si="6"/>
        <v>#VALUE!</v>
      </c>
    </row>
    <row r="80" spans="1:6" x14ac:dyDescent="0.25">
      <c r="A80" s="255" t="s">
        <v>403</v>
      </c>
      <c r="B80" s="256" t="s">
        <v>263</v>
      </c>
      <c r="C80" s="256" t="s">
        <v>197</v>
      </c>
      <c r="D80" s="223" t="str">
        <f>IFERROR(VLOOKUP($A80,'SCH B'!$C$15:$E$58,3,FALSE),"")</f>
        <v/>
      </c>
      <c r="E80" s="238" t="str">
        <f>IFERROR(VLOOKUP($A80,'SCH B'!$C$15:$G$58,5,FALSE),"")</f>
        <v/>
      </c>
      <c r="F80" s="26" t="e">
        <f t="shared" si="6"/>
        <v>#VALUE!</v>
      </c>
    </row>
    <row r="81" spans="1:6" x14ac:dyDescent="0.25">
      <c r="A81" s="257" t="s">
        <v>404</v>
      </c>
      <c r="B81" s="258" t="s">
        <v>264</v>
      </c>
      <c r="C81" s="258" t="s">
        <v>197</v>
      </c>
      <c r="D81" s="223" t="str">
        <f>IFERROR(VLOOKUP($A81,'SCH B'!$C$15:$E$58,3,FALSE),"")</f>
        <v/>
      </c>
      <c r="E81" s="238" t="str">
        <f>IFERROR(VLOOKUP($A81,'SCH B'!$C$15:$G$58,5,FALSE),"")</f>
        <v/>
      </c>
      <c r="F81" s="26" t="e">
        <f t="shared" si="6"/>
        <v>#VALUE!</v>
      </c>
    </row>
    <row r="82" spans="1:6" x14ac:dyDescent="0.25">
      <c r="A82" s="255" t="s">
        <v>405</v>
      </c>
      <c r="B82" s="256" t="s">
        <v>265</v>
      </c>
      <c r="C82" s="256" t="s">
        <v>197</v>
      </c>
      <c r="D82" s="223" t="str">
        <f>IFERROR(VLOOKUP($A82,'SCH B'!$C$15:$E$58,3,FALSE),"")</f>
        <v/>
      </c>
      <c r="E82" s="238" t="str">
        <f>IFERROR(VLOOKUP($A82,'SCH B'!$C$15:$G$58,5,FALSE),"")</f>
        <v/>
      </c>
      <c r="F82" s="26" t="e">
        <f t="shared" si="6"/>
        <v>#VALUE!</v>
      </c>
    </row>
    <row r="83" spans="1:6" x14ac:dyDescent="0.25">
      <c r="A83" s="257" t="s">
        <v>406</v>
      </c>
      <c r="B83" s="258" t="s">
        <v>261</v>
      </c>
      <c r="C83" s="258" t="s">
        <v>29</v>
      </c>
      <c r="D83" s="223" t="str">
        <f>IFERROR(VLOOKUP($A83,'SCH B'!$C$15:$E$58,3,FALSE),"")</f>
        <v/>
      </c>
      <c r="E83" s="238" t="str">
        <f>IFERROR(VLOOKUP($A83,'SCH B'!$C$15:$G$58,5,FALSE),"")</f>
        <v/>
      </c>
      <c r="F83" s="223"/>
    </row>
    <row r="84" spans="1:6" x14ac:dyDescent="0.25">
      <c r="A84" s="255" t="s">
        <v>407</v>
      </c>
      <c r="B84" s="256" t="s">
        <v>262</v>
      </c>
      <c r="C84" s="256" t="s">
        <v>29</v>
      </c>
      <c r="D84" s="223" t="str">
        <f>IFERROR(VLOOKUP($A84,'SCH B'!$C$15:$E$58,3,FALSE),"")</f>
        <v/>
      </c>
      <c r="E84" s="238" t="str">
        <f>IFERROR(VLOOKUP($A84,'SCH B'!$C$15:$G$58,5,FALSE),"")</f>
        <v/>
      </c>
      <c r="F84" s="223"/>
    </row>
    <row r="85" spans="1:6" x14ac:dyDescent="0.25">
      <c r="A85" s="257" t="s">
        <v>408</v>
      </c>
      <c r="B85" s="258" t="s">
        <v>263</v>
      </c>
      <c r="C85" s="258" t="s">
        <v>29</v>
      </c>
      <c r="D85" s="223" t="str">
        <f>IFERROR(VLOOKUP($A85,'SCH B'!$C$15:$E$58,3,FALSE),"")</f>
        <v/>
      </c>
      <c r="E85" s="238" t="str">
        <f>IFERROR(VLOOKUP($A85,'SCH B'!$C$15:$G$58,5,FALSE),"")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B'!$C$15:$E$58,3,FALSE),"")</f>
        <v/>
      </c>
      <c r="E86" s="238" t="str">
        <f>IFERROR(VLOOKUP($A86,'SCH B'!$C$15:$G$58,5,FALSE),"")</f>
        <v/>
      </c>
      <c r="F86" s="223"/>
    </row>
    <row r="87" spans="1:6" x14ac:dyDescent="0.25">
      <c r="A87" s="257" t="s">
        <v>410</v>
      </c>
      <c r="B87" s="258" t="s">
        <v>265</v>
      </c>
      <c r="C87" s="258" t="s">
        <v>29</v>
      </c>
      <c r="D87" s="223" t="str">
        <f>IFERROR(VLOOKUP($A87,'SCH B'!$C$15:$E$58,3,FALSE),"")</f>
        <v/>
      </c>
      <c r="E87" s="238" t="str">
        <f>IFERROR(VLOOKUP($A87,'SCH B'!$C$15:$G$58,5,FALSE),"")</f>
        <v/>
      </c>
      <c r="F87" s="223"/>
    </row>
    <row r="88" spans="1:6" x14ac:dyDescent="0.25">
      <c r="A88" s="255" t="s">
        <v>411</v>
      </c>
      <c r="B88" s="256" t="s">
        <v>261</v>
      </c>
      <c r="C88" s="256" t="s">
        <v>227</v>
      </c>
      <c r="D88" s="223" t="str">
        <f>IFERROR(VLOOKUP($A88,'SCH B'!$C$15:$E$58,3,FALSE),"")</f>
        <v/>
      </c>
      <c r="E88" s="238" t="str">
        <f>IFERROR(VLOOKUP($A88,'SCH B'!$C$15:$G$58,5,FALSE),"")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B'!$C$15:$E$58,3,FALSE),"")</f>
        <v/>
      </c>
      <c r="E89" s="238" t="str">
        <f>IFERROR(VLOOKUP($A89,'SCH B'!$C$15:$G$58,5,FALSE),"")</f>
        <v/>
      </c>
      <c r="F89" s="26" t="e">
        <f t="shared" si="7"/>
        <v>#VALUE!</v>
      </c>
    </row>
    <row r="90" spans="1:6" x14ac:dyDescent="0.25">
      <c r="A90" s="255" t="s">
        <v>413</v>
      </c>
      <c r="B90" s="256" t="s">
        <v>263</v>
      </c>
      <c r="C90" s="256" t="s">
        <v>227</v>
      </c>
      <c r="D90" s="223" t="str">
        <f>IFERROR(VLOOKUP($A90,'SCH B'!$C$15:$E$58,3,FALSE),"")</f>
        <v/>
      </c>
      <c r="E90" s="238" t="str">
        <f>IFERROR(VLOOKUP($A90,'SCH B'!$C$15:$G$58,5,FALSE),"")</f>
        <v/>
      </c>
      <c r="F90" s="26" t="e">
        <f t="shared" si="7"/>
        <v>#VALUE!</v>
      </c>
    </row>
    <row r="91" spans="1:6" x14ac:dyDescent="0.25">
      <c r="A91" s="257" t="s">
        <v>414</v>
      </c>
      <c r="B91" s="258" t="s">
        <v>264</v>
      </c>
      <c r="C91" s="258" t="s">
        <v>227</v>
      </c>
      <c r="D91" s="223" t="str">
        <f>IFERROR(VLOOKUP($A91,'SCH B'!$C$15:$E$58,3,FALSE),"")</f>
        <v/>
      </c>
      <c r="E91" s="238" t="str">
        <f>IFERROR(VLOOKUP($A91,'SCH B'!$C$15:$G$58,5,FALSE),"")</f>
        <v/>
      </c>
      <c r="F91" s="26" t="e">
        <f t="shared" si="7"/>
        <v>#VALUE!</v>
      </c>
    </row>
    <row r="92" spans="1:6" x14ac:dyDescent="0.25">
      <c r="A92" s="255" t="s">
        <v>415</v>
      </c>
      <c r="B92" s="256" t="s">
        <v>265</v>
      </c>
      <c r="C92" s="256" t="s">
        <v>227</v>
      </c>
      <c r="D92" s="223" t="str">
        <f>IFERROR(VLOOKUP($A92,'SCH B'!$C$15:$E$58,3,FALSE),"")</f>
        <v/>
      </c>
      <c r="E92" s="238" t="str">
        <f>IFERROR(VLOOKUP($A92,'SCH B'!$C$15:$G$58,5,FALSE),"")</f>
        <v/>
      </c>
      <c r="F92" s="26" t="e">
        <f t="shared" si="7"/>
        <v>#VALUE!</v>
      </c>
    </row>
    <row r="93" spans="1:6" x14ac:dyDescent="0.25">
      <c r="A93" s="266" t="s">
        <v>435</v>
      </c>
      <c r="B93" s="267" t="s">
        <v>261</v>
      </c>
      <c r="C93" s="267" t="s">
        <v>197</v>
      </c>
      <c r="D93" s="223" t="str">
        <f>IFERROR(VLOOKUP($A93,'SCH B'!$C$15:$E$58,3,FALSE),"")</f>
        <v/>
      </c>
      <c r="E93" s="238" t="str">
        <f>IFERROR(VLOOKUP($A93,'SCH B'!$C$15:$G$58,5,FALSE),"")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B'!$C$15:$E$58,3,FALSE),"")</f>
        <v/>
      </c>
      <c r="E94" s="238" t="str">
        <f>IFERROR(VLOOKUP($A94,'SCH B'!$C$15:$G$58,5,FALSE),"")</f>
        <v/>
      </c>
      <c r="F94" s="26" t="e">
        <f t="shared" si="8"/>
        <v>#VALUE!</v>
      </c>
    </row>
    <row r="95" spans="1:6" x14ac:dyDescent="0.25">
      <c r="A95" s="266" t="s">
        <v>437</v>
      </c>
      <c r="B95" s="267" t="s">
        <v>263</v>
      </c>
      <c r="C95" s="267" t="s">
        <v>197</v>
      </c>
      <c r="D95" s="223" t="str">
        <f>IFERROR(VLOOKUP($A95,'SCH B'!$C$15:$E$58,3,FALSE),"")</f>
        <v/>
      </c>
      <c r="E95" s="238" t="str">
        <f>IFERROR(VLOOKUP($A95,'SCH B'!$C$15:$G$58,5,FALSE),"")</f>
        <v/>
      </c>
      <c r="F95" s="26" t="e">
        <f t="shared" si="8"/>
        <v>#VALUE!</v>
      </c>
    </row>
    <row r="96" spans="1:6" x14ac:dyDescent="0.25">
      <c r="A96" s="268" t="s">
        <v>438</v>
      </c>
      <c r="B96" s="269" t="s">
        <v>264</v>
      </c>
      <c r="C96" s="269" t="s">
        <v>197</v>
      </c>
      <c r="D96" s="223" t="str">
        <f>IFERROR(VLOOKUP($A96,'SCH B'!$C$15:$E$58,3,FALSE),"")</f>
        <v/>
      </c>
      <c r="E96" s="238" t="str">
        <f>IFERROR(VLOOKUP($A96,'SCH B'!$C$15:$G$58,5,FALSE),"")</f>
        <v/>
      </c>
      <c r="F96" s="26" t="e">
        <f t="shared" si="8"/>
        <v>#VALUE!</v>
      </c>
    </row>
    <row r="97" spans="1:6" x14ac:dyDescent="0.25">
      <c r="A97" s="266" t="s">
        <v>439</v>
      </c>
      <c r="B97" s="267" t="s">
        <v>265</v>
      </c>
      <c r="C97" s="267" t="s">
        <v>197</v>
      </c>
      <c r="D97" s="223" t="str">
        <f>IFERROR(VLOOKUP($A97,'SCH B'!$C$15:$E$58,3,FALSE),"")</f>
        <v/>
      </c>
      <c r="E97" s="238" t="str">
        <f>IFERROR(VLOOKUP($A97,'SCH B'!$C$15:$G$58,5,FALSE),"")</f>
        <v/>
      </c>
      <c r="F97" s="26" t="e">
        <f t="shared" si="8"/>
        <v>#VALUE!</v>
      </c>
    </row>
    <row r="98" spans="1:6" x14ac:dyDescent="0.25">
      <c r="A98" s="268" t="s">
        <v>440</v>
      </c>
      <c r="B98" s="269" t="s">
        <v>261</v>
      </c>
      <c r="C98" s="269" t="s">
        <v>29</v>
      </c>
      <c r="D98" s="223" t="str">
        <f>IFERROR(VLOOKUP($A98,'SCH B'!$C$15:$E$58,3,FALSE),"")</f>
        <v/>
      </c>
      <c r="E98" s="238" t="str">
        <f>IFERROR(VLOOKUP($A98,'SCH B'!$C$15:$G$58,5,FALSE),"")</f>
        <v/>
      </c>
      <c r="F98" s="223"/>
    </row>
    <row r="99" spans="1:6" x14ac:dyDescent="0.25">
      <c r="A99" s="266" t="s">
        <v>441</v>
      </c>
      <c r="B99" s="267" t="s">
        <v>262</v>
      </c>
      <c r="C99" s="267" t="s">
        <v>29</v>
      </c>
      <c r="D99" s="223" t="str">
        <f>IFERROR(VLOOKUP($A99,'SCH B'!$C$15:$E$58,3,FALSE),"")</f>
        <v/>
      </c>
      <c r="E99" s="238" t="str">
        <f>IFERROR(VLOOKUP($A99,'SCH B'!$C$15:$G$58,5,FALSE),"")</f>
        <v/>
      </c>
      <c r="F99" s="223"/>
    </row>
    <row r="100" spans="1:6" x14ac:dyDescent="0.25">
      <c r="A100" s="268" t="s">
        <v>442</v>
      </c>
      <c r="B100" s="269" t="s">
        <v>263</v>
      </c>
      <c r="C100" s="269" t="s">
        <v>29</v>
      </c>
      <c r="D100" s="223" t="str">
        <f>IFERROR(VLOOKUP($A100,'SCH B'!$C$15:$E$58,3,FALSE),"")</f>
        <v/>
      </c>
      <c r="E100" s="238" t="str">
        <f>IFERROR(VLOOKUP($A100,'SCH B'!$C$15:$G$58,5,FALSE),"")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B'!$C$15:$E$58,3,FALSE),"")</f>
        <v/>
      </c>
      <c r="E101" s="238" t="str">
        <f>IFERROR(VLOOKUP($A101,'SCH B'!$C$15:$G$58,5,FALSE),"")</f>
        <v/>
      </c>
      <c r="F101" s="223"/>
    </row>
    <row r="102" spans="1:6" x14ac:dyDescent="0.25">
      <c r="A102" s="268" t="s">
        <v>444</v>
      </c>
      <c r="B102" s="269" t="s">
        <v>265</v>
      </c>
      <c r="C102" s="269" t="s">
        <v>29</v>
      </c>
      <c r="D102" s="223" t="str">
        <f>IFERROR(VLOOKUP($A102,'SCH B'!$C$15:$E$58,3,FALSE),"")</f>
        <v/>
      </c>
      <c r="E102" s="238" t="str">
        <f>IFERROR(VLOOKUP($A102,'SCH B'!$C$15:$G$58,5,FALSE),"")</f>
        <v/>
      </c>
      <c r="F102" s="223"/>
    </row>
    <row r="103" spans="1:6" x14ac:dyDescent="0.25">
      <c r="A103" s="266" t="s">
        <v>445</v>
      </c>
      <c r="B103" s="267" t="s">
        <v>261</v>
      </c>
      <c r="C103" s="267" t="s">
        <v>227</v>
      </c>
      <c r="D103" s="223" t="str">
        <f>IFERROR(VLOOKUP($A103,'SCH B'!$C$15:$E$58,3,FALSE),"")</f>
        <v/>
      </c>
      <c r="E103" s="238" t="str">
        <f>IFERROR(VLOOKUP($A103,'SCH B'!$C$15:$G$58,5,FALSE),"")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B'!$C$15:$E$58,3,FALSE),"")</f>
        <v/>
      </c>
      <c r="E104" s="238" t="str">
        <f>IFERROR(VLOOKUP($A104,'SCH B'!$C$15:$G$58,5,FALSE),"")</f>
        <v/>
      </c>
      <c r="F104" s="26" t="e">
        <f t="shared" si="9"/>
        <v>#VALUE!</v>
      </c>
    </row>
    <row r="105" spans="1:6" x14ac:dyDescent="0.25">
      <c r="A105" s="266" t="s">
        <v>447</v>
      </c>
      <c r="B105" s="267" t="s">
        <v>263</v>
      </c>
      <c r="C105" s="267" t="s">
        <v>227</v>
      </c>
      <c r="D105" s="223" t="str">
        <f>IFERROR(VLOOKUP($A105,'SCH B'!$C$15:$E$58,3,FALSE),"")</f>
        <v/>
      </c>
      <c r="E105" s="238" t="str">
        <f>IFERROR(VLOOKUP($A105,'SCH B'!$C$15:$G$58,5,FALSE),"")</f>
        <v/>
      </c>
      <c r="F105" s="26" t="e">
        <f t="shared" si="9"/>
        <v>#VALUE!</v>
      </c>
    </row>
    <row r="106" spans="1:6" x14ac:dyDescent="0.25">
      <c r="A106" s="268" t="s">
        <v>448</v>
      </c>
      <c r="B106" s="269" t="s">
        <v>264</v>
      </c>
      <c r="C106" s="269" t="s">
        <v>227</v>
      </c>
      <c r="D106" s="223" t="str">
        <f>IFERROR(VLOOKUP($A106,'SCH B'!$C$15:$E$58,3,FALSE),"")</f>
        <v/>
      </c>
      <c r="E106" s="238" t="str">
        <f>IFERROR(VLOOKUP($A106,'SCH B'!$C$15:$G$58,5,FALSE),"")</f>
        <v/>
      </c>
      <c r="F106" s="26" t="e">
        <f t="shared" si="9"/>
        <v>#VALUE!</v>
      </c>
    </row>
    <row r="107" spans="1:6" x14ac:dyDescent="0.25">
      <c r="A107" s="266" t="s">
        <v>449</v>
      </c>
      <c r="B107" s="267" t="s">
        <v>265</v>
      </c>
      <c r="C107" s="267" t="s">
        <v>227</v>
      </c>
      <c r="D107" s="223" t="str">
        <f>IFERROR(VLOOKUP($A107,'SCH B'!$C$15:$E$58,3,FALSE),"")</f>
        <v/>
      </c>
      <c r="E107" s="238" t="str">
        <f>IFERROR(VLOOKUP($A107,'SCH B'!$C$15:$G$58,5,FALSE),"")</f>
        <v/>
      </c>
      <c r="F107" s="26" t="e">
        <f t="shared" si="9"/>
        <v>#VALUE!</v>
      </c>
    </row>
    <row r="108" spans="1:6" x14ac:dyDescent="0.25">
      <c r="A108" s="204" t="s">
        <v>266</v>
      </c>
      <c r="B108" s="204" t="s">
        <v>416</v>
      </c>
      <c r="C108" s="204" t="s">
        <v>276</v>
      </c>
      <c r="D108" s="223" t="str">
        <f>IFERROR(VLOOKUP($A108,'SCH B'!$C$15:$E$58,3,FALSE),"")</f>
        <v/>
      </c>
      <c r="E108" s="238" t="str">
        <f>IFERROR(VLOOKUP($A108,'SCH B'!$C$15:$G$58,5,FALSE),"")</f>
        <v/>
      </c>
      <c r="F108" s="223"/>
    </row>
    <row r="109" spans="1:6" x14ac:dyDescent="0.25">
      <c r="A109" s="205" t="s">
        <v>267</v>
      </c>
      <c r="B109" s="205" t="s">
        <v>277</v>
      </c>
      <c r="C109" s="205" t="s">
        <v>276</v>
      </c>
      <c r="D109" s="223" t="str">
        <f>IFERROR(VLOOKUP($A109,'SCH B'!$C$15:$E$58,3,FALSE),"")</f>
        <v/>
      </c>
      <c r="E109" s="238" t="str">
        <f>IFERROR(VLOOKUP($A109,'SCH B'!$C$15:$G$58,5,FALSE),"")</f>
        <v/>
      </c>
      <c r="F109" s="223"/>
    </row>
    <row r="110" spans="1:6" x14ac:dyDescent="0.25">
      <c r="A110" s="204" t="s">
        <v>268</v>
      </c>
      <c r="B110" s="204" t="s">
        <v>417</v>
      </c>
      <c r="C110" s="204" t="s">
        <v>276</v>
      </c>
      <c r="D110" s="223" t="str">
        <f>IFERROR(VLOOKUP($A110,'SCH B'!$C$15:$E$58,3,FALSE),"")</f>
        <v/>
      </c>
      <c r="E110" s="238" t="str">
        <f>IFERROR(VLOOKUP($A110,'SCH B'!$C$15:$G$58,5,FALSE),"")</f>
        <v/>
      </c>
      <c r="F110" s="223"/>
    </row>
    <row r="111" spans="1:6" x14ac:dyDescent="0.25">
      <c r="A111" s="205" t="s">
        <v>269</v>
      </c>
      <c r="B111" s="205" t="s">
        <v>278</v>
      </c>
      <c r="C111" s="205" t="s">
        <v>276</v>
      </c>
      <c r="D111" s="223" t="str">
        <f>IFERROR(VLOOKUP($A111,'SCH B'!$C$15:$E$58,3,FALSE),"")</f>
        <v/>
      </c>
      <c r="E111" s="238" t="str">
        <f>IFERROR(VLOOKUP($A111,'SCH B'!$C$15:$G$58,5,FALSE),"")</f>
        <v/>
      </c>
      <c r="F111" s="223"/>
    </row>
    <row r="112" spans="1:6" x14ac:dyDescent="0.25">
      <c r="A112" s="204" t="s">
        <v>270</v>
      </c>
      <c r="B112" s="204" t="s">
        <v>416</v>
      </c>
      <c r="C112" s="204" t="s">
        <v>29</v>
      </c>
      <c r="D112" s="223" t="str">
        <f>IFERROR(VLOOKUP($A112,'SCH B'!$C$15:$E$58,3,FALSE),"")</f>
        <v/>
      </c>
      <c r="E112" s="238" t="str">
        <f>IFERROR(VLOOKUP($A112,'SCH B'!$C$15:$G$58,5,FALSE),"")</f>
        <v/>
      </c>
      <c r="F112" s="223"/>
    </row>
    <row r="113" spans="1:6" x14ac:dyDescent="0.25">
      <c r="A113" s="205" t="s">
        <v>271</v>
      </c>
      <c r="B113" s="212" t="s">
        <v>277</v>
      </c>
      <c r="C113" s="205" t="s">
        <v>29</v>
      </c>
      <c r="D113" s="223" t="str">
        <f>IFERROR(VLOOKUP($A113,'SCH B'!$C$15:$E$58,3,FALSE),"")</f>
        <v/>
      </c>
      <c r="E113" s="238" t="str">
        <f>IFERROR(VLOOKUP($A113,'SCH B'!$C$15:$G$58,5,FALSE),"")</f>
        <v/>
      </c>
      <c r="F113" s="223"/>
    </row>
    <row r="114" spans="1:6" x14ac:dyDescent="0.25">
      <c r="A114" s="204" t="s">
        <v>272</v>
      </c>
      <c r="B114" s="213" t="s">
        <v>417</v>
      </c>
      <c r="C114" s="204" t="s">
        <v>29</v>
      </c>
      <c r="D114" s="223" t="str">
        <f>IFERROR(VLOOKUP($A114,'SCH B'!$C$15:$E$58,3,FALSE),"")</f>
        <v/>
      </c>
      <c r="E114" s="238" t="str">
        <f>IFERROR(VLOOKUP($A114,'SCH B'!$C$15:$G$58,5,FALSE),"")</f>
        <v/>
      </c>
      <c r="F114" s="223"/>
    </row>
    <row r="115" spans="1:6" ht="26.25" x14ac:dyDescent="0.25">
      <c r="A115" s="205" t="s">
        <v>273</v>
      </c>
      <c r="B115" s="212" t="s">
        <v>278</v>
      </c>
      <c r="C115" s="205" t="s">
        <v>29</v>
      </c>
      <c r="D115" s="223" t="str">
        <f>IFERROR(VLOOKUP($A115,'SCH B'!$C$15:$E$58,3,FALSE),"")</f>
        <v/>
      </c>
      <c r="E115" s="238" t="str">
        <f>IFERROR(VLOOKUP($A115,'SCH B'!$C$15:$G$58,5,FALSE),"")</f>
        <v/>
      </c>
      <c r="F115" s="223"/>
    </row>
    <row r="116" spans="1:6" x14ac:dyDescent="0.25">
      <c r="A116" s="204" t="s">
        <v>274</v>
      </c>
      <c r="B116" s="204" t="s">
        <v>416</v>
      </c>
      <c r="C116" s="204" t="s">
        <v>197</v>
      </c>
      <c r="D116" s="223" t="str">
        <f>IFERROR(VLOOKUP($A116,'SCH B'!$C$15:$E$58,3,FALSE),"")</f>
        <v/>
      </c>
      <c r="E116" s="238" t="str">
        <f>IFERROR(VLOOKUP($A116,'SCH B'!$C$15:$G$58,5,FALSE),"")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B'!$C$15:$E$58,3,FALSE),"")</f>
        <v/>
      </c>
      <c r="E117" s="238" t="str">
        <f>IFERROR(VLOOKUP($A117,'SCH B'!$C$15:$G$58,5,FALSE),"")</f>
        <v/>
      </c>
      <c r="F117" s="26" t="e">
        <f t="shared" si="10"/>
        <v>#VALUE!</v>
      </c>
    </row>
    <row r="118" spans="1:6" x14ac:dyDescent="0.25">
      <c r="A118" s="204" t="s">
        <v>279</v>
      </c>
      <c r="B118" s="204" t="s">
        <v>280</v>
      </c>
      <c r="C118" s="206" t="s">
        <v>197</v>
      </c>
      <c r="D118" s="223" t="str">
        <f>IFERROR(VLOOKUP($A118,'SCH B'!$C$15:$E$58,3,FALSE),"")</f>
        <v/>
      </c>
      <c r="E118" s="238" t="str">
        <f>IFERROR(VLOOKUP($A118,'SCH B'!$C$15:$G$58,5,FALSE),"")</f>
        <v/>
      </c>
      <c r="F118" s="223"/>
    </row>
    <row r="119" spans="1:6" x14ac:dyDescent="0.25">
      <c r="A119" s="205" t="s">
        <v>281</v>
      </c>
      <c r="B119" s="205" t="s">
        <v>249</v>
      </c>
      <c r="C119" s="205" t="s">
        <v>197</v>
      </c>
      <c r="D119" s="223" t="str">
        <f>IFERROR(VLOOKUP($A119,'SCH B'!$C$15:$E$58,3,FALSE),"")</f>
        <v/>
      </c>
      <c r="E119" s="238" t="str">
        <f>IFERROR(VLOOKUP($A119,'SCH B'!$C$15:$G$58,5,FALSE),"")</f>
        <v/>
      </c>
      <c r="F119" s="26" t="e">
        <f>IF((D119&gt;=1575),ROUND(E119*0.01,2),"-")</f>
        <v>#VALUE!</v>
      </c>
    </row>
    <row r="120" spans="1:6" x14ac:dyDescent="0.25">
      <c r="A120" s="204" t="s">
        <v>282</v>
      </c>
      <c r="B120" s="204" t="s">
        <v>250</v>
      </c>
      <c r="C120" s="204" t="s">
        <v>197</v>
      </c>
      <c r="D120" s="223" t="str">
        <f>IFERROR(VLOOKUP($A120,'SCH B'!$C$15:$E$58,3,FALSE),"")</f>
        <v/>
      </c>
      <c r="E120" s="238" t="str">
        <f>IFERROR(VLOOKUP($A120,'SCH B'!$C$15:$G$58,5,FALSE),"")</f>
        <v/>
      </c>
      <c r="F120" s="26" t="e">
        <f>IF((D120&gt;=1050),ROUND(E120*0.01,2),"-")</f>
        <v>#VALUE!</v>
      </c>
    </row>
    <row r="121" spans="1:6" x14ac:dyDescent="0.25">
      <c r="A121" s="205" t="s">
        <v>283</v>
      </c>
      <c r="B121" s="205" t="s">
        <v>251</v>
      </c>
      <c r="C121" s="205" t="s">
        <v>197</v>
      </c>
      <c r="D121" s="223" t="str">
        <f>IFERROR(VLOOKUP($A121,'SCH B'!$C$15:$E$58,3,FALSE),"")</f>
        <v/>
      </c>
      <c r="E121" s="238" t="str">
        <f>IFERROR(VLOOKUP($A121,'SCH B'!$C$15:$G$58,5,FALSE),"")</f>
        <v/>
      </c>
      <c r="F121" s="26" t="e">
        <f>IF((D121&gt;=787.5),ROUND(E121*0.01,2),"-")</f>
        <v>#VALUE!</v>
      </c>
    </row>
    <row r="122" spans="1:6" x14ac:dyDescent="0.25">
      <c r="A122" s="204" t="s">
        <v>284</v>
      </c>
      <c r="B122" s="204" t="s">
        <v>252</v>
      </c>
      <c r="C122" s="204" t="s">
        <v>197</v>
      </c>
      <c r="D122" s="223" t="str">
        <f>IFERROR(VLOOKUP($A122,'SCH B'!$C$15:$E$58,3,FALSE),"")</f>
        <v/>
      </c>
      <c r="E122" s="238" t="str">
        <f>IFERROR(VLOOKUP($A122,'SCH B'!$C$15:$G$58,5,FALSE),"")</f>
        <v/>
      </c>
      <c r="F122" s="26" t="e">
        <f>IF((D122&gt;=393.75),ROUND(E122*0.01,2),"-")</f>
        <v>#VALUE!</v>
      </c>
    </row>
    <row r="123" spans="1:6" x14ac:dyDescent="0.25">
      <c r="A123" s="205" t="s">
        <v>285</v>
      </c>
      <c r="B123" s="205" t="s">
        <v>291</v>
      </c>
      <c r="C123" s="205" t="s">
        <v>197</v>
      </c>
      <c r="D123" s="223" t="str">
        <f>IFERROR(VLOOKUP($A123,'SCH B'!$C$15:$E$58,3,FALSE),"")</f>
        <v/>
      </c>
      <c r="E123" s="238" t="str">
        <f>IFERROR(VLOOKUP($A123,'SCH B'!$C$15:$G$58,5,FALSE),"")</f>
        <v/>
      </c>
      <c r="F123" s="26" t="e">
        <f>IF((D123&gt;=(1575*2)),ROUND(E123*0.01,2),"-")</f>
        <v>#VALUE!</v>
      </c>
    </row>
    <row r="124" spans="1:6" x14ac:dyDescent="0.25">
      <c r="A124" s="204" t="s">
        <v>286</v>
      </c>
      <c r="B124" s="204" t="s">
        <v>292</v>
      </c>
      <c r="C124" s="204" t="s">
        <v>197</v>
      </c>
      <c r="D124" s="223" t="str">
        <f>IFERROR(VLOOKUP($A124,'SCH B'!$C$15:$E$58,3,FALSE),"")</f>
        <v/>
      </c>
      <c r="E124" s="238" t="str">
        <f>IFERROR(VLOOKUP($A124,'SCH B'!$C$15:$G$58,5,FALSE),"")</f>
        <v/>
      </c>
      <c r="F124" s="26" t="e">
        <f>IF((D124&gt;=(787.5*2)),ROUND(E124*0.01,2),"-")</f>
        <v>#VALUE!</v>
      </c>
    </row>
    <row r="125" spans="1:6" x14ac:dyDescent="0.25">
      <c r="A125" s="205" t="s">
        <v>287</v>
      </c>
      <c r="B125" s="205" t="s">
        <v>293</v>
      </c>
      <c r="C125" s="205" t="s">
        <v>197</v>
      </c>
      <c r="D125" s="223" t="str">
        <f>IFERROR(VLOOKUP($A125,'SCH B'!$C$15:$E$58,3,FALSE),"")</f>
        <v/>
      </c>
      <c r="E125" s="238" t="str">
        <f>IFERROR(VLOOKUP($A125,'SCH B'!$C$15:$G$58,5,FALSE),"")</f>
        <v/>
      </c>
      <c r="F125" s="26" t="e">
        <f>IF((D125&gt;=(1050*2)),ROUND(E125*0.01,2),"-")</f>
        <v>#VALUE!</v>
      </c>
    </row>
    <row r="126" spans="1:6" x14ac:dyDescent="0.25">
      <c r="A126" s="204" t="s">
        <v>288</v>
      </c>
      <c r="B126" s="204" t="s">
        <v>294</v>
      </c>
      <c r="C126" s="204" t="s">
        <v>197</v>
      </c>
      <c r="D126" s="223" t="str">
        <f>IFERROR(VLOOKUP($A126,'SCH B'!$C$15:$E$58,3,FALSE),"")</f>
        <v/>
      </c>
      <c r="E126" s="238" t="str">
        <f>IFERROR(VLOOKUP($A126,'SCH B'!$C$15:$G$58,5,FALSE),"")</f>
        <v/>
      </c>
      <c r="F126" s="26" t="e">
        <f>IF((D126&gt;=(787.5*2)),ROUND(E126*0.01,2),"-")</f>
        <v>#VALUE!</v>
      </c>
    </row>
    <row r="127" spans="1:6" x14ac:dyDescent="0.25">
      <c r="A127" s="205" t="s">
        <v>289</v>
      </c>
      <c r="B127" s="205" t="s">
        <v>295</v>
      </c>
      <c r="C127" s="205" t="s">
        <v>197</v>
      </c>
      <c r="D127" s="223" t="str">
        <f>IFERROR(VLOOKUP($A127,'SCH B'!$C$15:$E$58,3,FALSE),"")</f>
        <v/>
      </c>
      <c r="E127" s="238" t="str">
        <f>IFERROR(VLOOKUP($A127,'SCH B'!$C$15:$G$58,5,FALSE),"")</f>
        <v/>
      </c>
      <c r="F127" s="26" t="e">
        <f>IF((D127&gt;=(787.5*2)),ROUND(E127*0.01,2),"-")</f>
        <v>#VALUE!</v>
      </c>
    </row>
    <row r="128" spans="1:6" x14ac:dyDescent="0.25">
      <c r="A128" s="204" t="s">
        <v>290</v>
      </c>
      <c r="B128" s="204" t="s">
        <v>296</v>
      </c>
      <c r="C128" s="204" t="s">
        <v>197</v>
      </c>
      <c r="D128" s="223" t="str">
        <f>IFERROR(VLOOKUP($A128,'SCH B'!$C$15:$E$58,3,FALSE),"")</f>
        <v/>
      </c>
      <c r="E128" s="238" t="str">
        <f>IFERROR(VLOOKUP($A128,'SCH B'!$C$15:$G$58,5,FALSE),"")</f>
        <v/>
      </c>
      <c r="F128" s="26" t="e">
        <f>IF((D128&gt;=(393.75*2)),ROUND(E128*0.01,2),"-")</f>
        <v>#VALUE!</v>
      </c>
    </row>
    <row r="129" spans="1:16" x14ac:dyDescent="0.25">
      <c r="A129" s="205" t="s">
        <v>242</v>
      </c>
      <c r="B129" s="205" t="s">
        <v>249</v>
      </c>
      <c r="C129" s="205" t="s">
        <v>29</v>
      </c>
      <c r="D129" s="223" t="str">
        <f>IFERROR(VLOOKUP($A129,'SCH B'!$C$15:$E$58,3,FALSE),"")</f>
        <v/>
      </c>
      <c r="E129" s="238" t="str">
        <f>IFERROR(VLOOKUP($A129,'SCH B'!$C$15:$G$58,5,FALSE),"")</f>
        <v/>
      </c>
      <c r="F129" s="26" t="e">
        <f>IF((D129&gt;=40000),ROUND(E129*0.05,2),"-")</f>
        <v>#VALUE!</v>
      </c>
    </row>
    <row r="130" spans="1:16" x14ac:dyDescent="0.25">
      <c r="A130" s="204" t="s">
        <v>243</v>
      </c>
      <c r="B130" s="204" t="s">
        <v>250</v>
      </c>
      <c r="C130" s="204" t="s">
        <v>29</v>
      </c>
      <c r="D130" s="223" t="str">
        <f>IFERROR(VLOOKUP($A130,'SCH B'!$C$15:$E$58,3,FALSE),"")</f>
        <v/>
      </c>
      <c r="E130" s="238" t="str">
        <f>IFERROR(VLOOKUP($A130,'SCH B'!$C$15:$G$58,5,FALSE),"")</f>
        <v/>
      </c>
      <c r="F130" s="26" t="e">
        <f t="shared" ref="F130:F135" si="11">IF((D130&gt;=40000),ROUND(E130*0.05,2),"-")</f>
        <v>#VALUE!</v>
      </c>
    </row>
    <row r="131" spans="1:16" x14ac:dyDescent="0.25">
      <c r="A131" s="205" t="s">
        <v>244</v>
      </c>
      <c r="B131" s="205" t="s">
        <v>251</v>
      </c>
      <c r="C131" s="205" t="s">
        <v>29</v>
      </c>
      <c r="D131" s="223" t="str">
        <f>IFERROR(VLOOKUP($A131,'SCH B'!$C$15:$E$58,3,FALSE),"")</f>
        <v/>
      </c>
      <c r="E131" s="238" t="str">
        <f>IFERROR(VLOOKUP($A131,'SCH B'!$C$15:$G$58,5,FALSE),"")</f>
        <v/>
      </c>
      <c r="F131" s="26" t="e">
        <f t="shared" si="11"/>
        <v>#VALUE!</v>
      </c>
    </row>
    <row r="132" spans="1:16" x14ac:dyDescent="0.25">
      <c r="A132" s="204" t="s">
        <v>245</v>
      </c>
      <c r="B132" s="204" t="s">
        <v>252</v>
      </c>
      <c r="C132" s="204" t="s">
        <v>29</v>
      </c>
      <c r="D132" s="223" t="str">
        <f>IFERROR(VLOOKUP($A132,'SCH B'!$C$15:$E$58,3,FALSE),"")</f>
        <v/>
      </c>
      <c r="E132" s="238" t="str">
        <f>IFERROR(VLOOKUP($A132,'SCH B'!$C$15:$G$58,5,FALSE),"")</f>
        <v/>
      </c>
      <c r="F132" s="26" t="e">
        <f t="shared" si="11"/>
        <v>#VALUE!</v>
      </c>
    </row>
    <row r="133" spans="1:16" x14ac:dyDescent="0.25">
      <c r="A133" s="205" t="s">
        <v>246</v>
      </c>
      <c r="B133" s="205" t="s">
        <v>253</v>
      </c>
      <c r="C133" s="205" t="s">
        <v>29</v>
      </c>
      <c r="D133" s="223" t="str">
        <f>IFERROR(VLOOKUP($A133,'SCH B'!$C$15:$E$58,3,FALSE),"")</f>
        <v/>
      </c>
      <c r="E133" s="238" t="str">
        <f>IFERROR(VLOOKUP($A133,'SCH B'!$C$15:$G$58,5,FALSE),"")</f>
        <v/>
      </c>
      <c r="F133" s="26" t="e">
        <f t="shared" si="11"/>
        <v>#VALUE!</v>
      </c>
    </row>
    <row r="134" spans="1:16" x14ac:dyDescent="0.25">
      <c r="A134" s="204" t="s">
        <v>247</v>
      </c>
      <c r="B134" s="204" t="s">
        <v>254</v>
      </c>
      <c r="C134" s="204" t="s">
        <v>29</v>
      </c>
      <c r="D134" s="223" t="str">
        <f>IFERROR(VLOOKUP($A134,'SCH B'!$C$15:$E$58,3,FALSE),"")</f>
        <v/>
      </c>
      <c r="E134" s="238" t="str">
        <f>IFERROR(VLOOKUP($A134,'SCH B'!$C$15:$G$58,5,FALSE),"")</f>
        <v/>
      </c>
      <c r="F134" s="26" t="e">
        <f t="shared" si="11"/>
        <v>#VALUE!</v>
      </c>
    </row>
    <row r="135" spans="1:16" x14ac:dyDescent="0.25">
      <c r="A135" s="205" t="s">
        <v>248</v>
      </c>
      <c r="B135" s="205" t="s">
        <v>255</v>
      </c>
      <c r="C135" s="205" t="s">
        <v>29</v>
      </c>
      <c r="D135" s="223" t="str">
        <f>IFERROR(VLOOKUP($A135,'SCH B'!$C$15:$E$58,3,FALSE),"")</f>
        <v/>
      </c>
      <c r="E135" s="238" t="str">
        <f>IFERROR(VLOOKUP($A135,'SCH B'!$C$15:$G$58,5,FALSE),"")</f>
        <v/>
      </c>
      <c r="F135" s="26" t="e">
        <f t="shared" si="11"/>
        <v>#VALUE!</v>
      </c>
    </row>
    <row r="136" spans="1:16" x14ac:dyDescent="0.25">
      <c r="A136" s="251" t="s">
        <v>418</v>
      </c>
      <c r="B136" s="252" t="s">
        <v>424</v>
      </c>
      <c r="C136" s="252" t="s">
        <v>197</v>
      </c>
      <c r="D136" s="223" t="str">
        <f>IFERROR(VLOOKUP($A136,'SCH B'!$C$15:$E$58,3,FALSE),"")</f>
        <v/>
      </c>
      <c r="E136" s="238" t="str">
        <f>IFERROR(VLOOKUP($A136,'SCH B'!$C$15:$G$58,5,FALSE),"")</f>
        <v/>
      </c>
      <c r="F136" s="282" t="str">
        <f>IF(ISNUMBER(D136),ROUND(E136*0.01,2),"-")</f>
        <v>-</v>
      </c>
    </row>
    <row r="137" spans="1:16" x14ac:dyDescent="0.25">
      <c r="A137" s="253" t="s">
        <v>419</v>
      </c>
      <c r="B137" s="254" t="s">
        <v>425</v>
      </c>
      <c r="C137" s="254" t="s">
        <v>197</v>
      </c>
      <c r="D137" s="223" t="str">
        <f>IFERROR(VLOOKUP($A137,'SCH B'!$C$15:$E$58,3,FALSE),"")</f>
        <v/>
      </c>
      <c r="E137" s="238" t="str">
        <f>IFERROR(VLOOKUP($A137,'SCH B'!$C$15:$G$58,5,FALSE),"")</f>
        <v/>
      </c>
      <c r="F137" s="282" t="str">
        <f t="shared" ref="F137:F138" si="12">IF(ISNUMBER(D137),ROUND(E137*0.01,2),"-")</f>
        <v>-</v>
      </c>
    </row>
    <row r="138" spans="1:16" x14ac:dyDescent="0.25">
      <c r="A138" s="251" t="s">
        <v>420</v>
      </c>
      <c r="B138" s="252" t="s">
        <v>426</v>
      </c>
      <c r="C138" s="252" t="s">
        <v>197</v>
      </c>
      <c r="D138" s="223" t="str">
        <f>IFERROR(VLOOKUP($A138,'SCH B'!$C$15:$E$58,3,FALSE),"")</f>
        <v/>
      </c>
      <c r="E138" s="238" t="str">
        <f>IFERROR(VLOOKUP($A138,'SCH B'!$C$15:$G$58,5,FALSE),"")</f>
        <v/>
      </c>
      <c r="F138" s="282" t="str">
        <f t="shared" si="12"/>
        <v>-</v>
      </c>
    </row>
    <row r="139" spans="1:16" x14ac:dyDescent="0.25">
      <c r="A139" s="253" t="s">
        <v>421</v>
      </c>
      <c r="B139" s="254" t="s">
        <v>424</v>
      </c>
      <c r="C139" s="254" t="s">
        <v>29</v>
      </c>
      <c r="D139" s="223" t="str">
        <f>IFERROR(VLOOKUP($A139,'SCH B'!$C$15:$E$58,3,FALSE),"")</f>
        <v/>
      </c>
      <c r="E139" s="238" t="str">
        <f>IFERROR(VLOOKUP($A139,'SCH B'!$C$15:$G$58,5,FALSE),"")</f>
        <v/>
      </c>
      <c r="F139" s="283">
        <v>0.08</v>
      </c>
    </row>
    <row r="140" spans="1:16" x14ac:dyDescent="0.25">
      <c r="A140" s="251" t="s">
        <v>422</v>
      </c>
      <c r="B140" s="252" t="s">
        <v>425</v>
      </c>
      <c r="C140" s="252" t="s">
        <v>29</v>
      </c>
      <c r="D140" s="223" t="str">
        <f>IFERROR(VLOOKUP($A140,'SCH B'!$C$15:$E$58,3,FALSE),"")</f>
        <v/>
      </c>
      <c r="E140" s="238" t="str">
        <f>IFERROR(VLOOKUP($A140,'SCH B'!$C$15:$G$58,5,FALSE),"")</f>
        <v/>
      </c>
      <c r="F140" s="283">
        <v>0.05</v>
      </c>
    </row>
    <row r="141" spans="1:16" x14ac:dyDescent="0.25">
      <c r="A141" s="253" t="s">
        <v>423</v>
      </c>
      <c r="B141" s="254" t="s">
        <v>426</v>
      </c>
      <c r="C141" s="254" t="s">
        <v>29</v>
      </c>
      <c r="D141" s="223" t="str">
        <f>IFERROR(VLOOKUP($A141,'SCH B'!$C$15:$E$58,3,FALSE),"")</f>
        <v/>
      </c>
      <c r="E141" s="238" t="str">
        <f>IFERROR(VLOOKUP($A141,'SCH B'!$C$15:$G$58,5,FALSE),"")</f>
        <v/>
      </c>
      <c r="F141" s="283">
        <v>0.05</v>
      </c>
    </row>
    <row r="142" spans="1:16" x14ac:dyDescent="0.25">
      <c r="A142" s="251" t="s">
        <v>450</v>
      </c>
      <c r="B142" s="252" t="s">
        <v>424</v>
      </c>
      <c r="C142" s="252" t="s">
        <v>197</v>
      </c>
      <c r="D142" s="223" t="str">
        <f>IFERROR(VLOOKUP($A142,'SCH B'!$C$15:$E$58,3,FALSE),"")</f>
        <v/>
      </c>
      <c r="E142" s="238" t="str">
        <f>IFERROR(VLOOKUP($A142,'SCH B'!$C$15:$G$58,5,FALSE),"")</f>
        <v/>
      </c>
      <c r="F142" s="282" t="str">
        <f>IF(ISNUMBER(D142),ROUND(E142*0.01,2),"-")</f>
        <v>-</v>
      </c>
      <c r="P142" t="s">
        <v>454</v>
      </c>
    </row>
    <row r="143" spans="1:16" x14ac:dyDescent="0.25">
      <c r="A143" s="253" t="s">
        <v>451</v>
      </c>
      <c r="B143" s="254" t="s">
        <v>424</v>
      </c>
      <c r="C143" s="254" t="s">
        <v>29</v>
      </c>
      <c r="D143" s="223" t="str">
        <f>IFERROR(VLOOKUP($A143,'SCH B'!$C$15:$E$58,3,FALSE),"")</f>
        <v/>
      </c>
      <c r="E143" s="238" t="str">
        <f>IFERROR(VLOOKUP($A143,'SCH B'!$C$15:$G$58,5,FALSE),"")</f>
        <v/>
      </c>
      <c r="F143" s="283">
        <v>0.08</v>
      </c>
      <c r="P143" t="s">
        <v>455</v>
      </c>
    </row>
    <row r="144" spans="1:16" hidden="1" x14ac:dyDescent="0.25">
      <c r="A144" s="215" t="s">
        <v>297</v>
      </c>
      <c r="B144" s="216" t="s">
        <v>318</v>
      </c>
      <c r="C144" s="217" t="s">
        <v>197</v>
      </c>
    </row>
    <row r="145" spans="1:3" hidden="1" x14ac:dyDescent="0.25">
      <c r="A145" s="205" t="s">
        <v>298</v>
      </c>
      <c r="B145" s="205" t="s">
        <v>319</v>
      </c>
      <c r="C145" s="207" t="s">
        <v>197</v>
      </c>
    </row>
    <row r="146" spans="1:3" hidden="1" x14ac:dyDescent="0.25">
      <c r="A146" s="204" t="s">
        <v>299</v>
      </c>
      <c r="B146" s="204" t="s">
        <v>320</v>
      </c>
      <c r="C146" s="206" t="s">
        <v>197</v>
      </c>
    </row>
    <row r="147" spans="1:3" hidden="1" x14ac:dyDescent="0.25">
      <c r="A147" s="205" t="s">
        <v>300</v>
      </c>
      <c r="B147" s="205" t="s">
        <v>321</v>
      </c>
      <c r="C147" s="207" t="s">
        <v>197</v>
      </c>
    </row>
    <row r="148" spans="1:3" hidden="1" x14ac:dyDescent="0.25">
      <c r="A148" s="204" t="s">
        <v>301</v>
      </c>
      <c r="B148" s="204" t="s">
        <v>322</v>
      </c>
      <c r="C148" s="206" t="s">
        <v>197</v>
      </c>
    </row>
    <row r="149" spans="1:3" hidden="1" x14ac:dyDescent="0.25">
      <c r="A149" s="205" t="s">
        <v>302</v>
      </c>
      <c r="B149" s="205" t="s">
        <v>323</v>
      </c>
      <c r="C149" s="207" t="s">
        <v>197</v>
      </c>
    </row>
    <row r="150" spans="1:3" hidden="1" x14ac:dyDescent="0.25">
      <c r="A150" s="204" t="s">
        <v>303</v>
      </c>
      <c r="B150" s="204" t="s">
        <v>324</v>
      </c>
      <c r="C150" s="206" t="s">
        <v>197</v>
      </c>
    </row>
    <row r="151" spans="1:3" hidden="1" x14ac:dyDescent="0.25">
      <c r="A151" s="205" t="s">
        <v>304</v>
      </c>
      <c r="B151" s="205" t="s">
        <v>325</v>
      </c>
      <c r="C151" s="207" t="s">
        <v>197</v>
      </c>
    </row>
    <row r="152" spans="1:3" hidden="1" x14ac:dyDescent="0.25">
      <c r="A152" s="204" t="s">
        <v>305</v>
      </c>
      <c r="B152" s="204" t="s">
        <v>326</v>
      </c>
      <c r="C152" s="206" t="s">
        <v>197</v>
      </c>
    </row>
    <row r="153" spans="1:3" hidden="1" x14ac:dyDescent="0.25">
      <c r="A153" s="205" t="s">
        <v>306</v>
      </c>
      <c r="B153" s="205" t="s">
        <v>327</v>
      </c>
      <c r="C153" s="207" t="s">
        <v>197</v>
      </c>
    </row>
    <row r="154" spans="1:3" hidden="1" x14ac:dyDescent="0.25">
      <c r="A154" s="204" t="s">
        <v>307</v>
      </c>
      <c r="B154" s="204" t="s">
        <v>328</v>
      </c>
      <c r="C154" s="206" t="s">
        <v>197</v>
      </c>
    </row>
    <row r="155" spans="1:3" hidden="1" x14ac:dyDescent="0.25">
      <c r="A155" s="205" t="s">
        <v>308</v>
      </c>
      <c r="B155" s="205" t="s">
        <v>329</v>
      </c>
      <c r="C155" s="207" t="s">
        <v>197</v>
      </c>
    </row>
    <row r="156" spans="1:3" hidden="1" x14ac:dyDescent="0.25">
      <c r="A156" s="204" t="s">
        <v>309</v>
      </c>
      <c r="B156" s="204" t="s">
        <v>330</v>
      </c>
      <c r="C156" s="206" t="s">
        <v>197</v>
      </c>
    </row>
    <row r="157" spans="1:3" hidden="1" x14ac:dyDescent="0.25">
      <c r="A157" s="205" t="s">
        <v>310</v>
      </c>
      <c r="B157" s="205" t="s">
        <v>331</v>
      </c>
      <c r="C157" s="207" t="s">
        <v>197</v>
      </c>
    </row>
    <row r="158" spans="1:3" hidden="1" x14ac:dyDescent="0.25">
      <c r="A158" s="204" t="s">
        <v>311</v>
      </c>
      <c r="B158" s="204" t="s">
        <v>332</v>
      </c>
      <c r="C158" s="206" t="s">
        <v>197</v>
      </c>
    </row>
    <row r="159" spans="1:3" hidden="1" x14ac:dyDescent="0.25">
      <c r="A159" s="205" t="s">
        <v>312</v>
      </c>
      <c r="B159" s="205" t="s">
        <v>333</v>
      </c>
      <c r="C159" s="207" t="s">
        <v>197</v>
      </c>
    </row>
    <row r="160" spans="1:3" hidden="1" x14ac:dyDescent="0.25">
      <c r="A160" s="204" t="s">
        <v>313</v>
      </c>
      <c r="B160" s="204" t="s">
        <v>334</v>
      </c>
      <c r="C160" s="206" t="s">
        <v>197</v>
      </c>
    </row>
    <row r="161" spans="1:3" hidden="1" x14ac:dyDescent="0.25">
      <c r="A161" s="205" t="s">
        <v>314</v>
      </c>
      <c r="B161" s="205" t="s">
        <v>335</v>
      </c>
      <c r="C161" s="207" t="s">
        <v>197</v>
      </c>
    </row>
    <row r="162" spans="1:3" hidden="1" x14ac:dyDescent="0.25">
      <c r="A162" s="204" t="s">
        <v>315</v>
      </c>
      <c r="B162" s="204" t="s">
        <v>336</v>
      </c>
      <c r="C162" s="206" t="s">
        <v>197</v>
      </c>
    </row>
    <row r="163" spans="1:3" hidden="1" x14ac:dyDescent="0.25">
      <c r="A163" s="205" t="s">
        <v>316</v>
      </c>
      <c r="B163" s="205" t="s">
        <v>337</v>
      </c>
      <c r="C163" s="207" t="s">
        <v>197</v>
      </c>
    </row>
    <row r="164" spans="1:3" hidden="1" x14ac:dyDescent="0.25">
      <c r="A164" s="204" t="s">
        <v>317</v>
      </c>
      <c r="B164" s="204" t="s">
        <v>338</v>
      </c>
      <c r="C164" s="206" t="s">
        <v>197</v>
      </c>
    </row>
    <row r="165" spans="1:3" hidden="1" x14ac:dyDescent="0.25">
      <c r="A165" s="205" t="s">
        <v>339</v>
      </c>
      <c r="B165" s="205" t="s">
        <v>347</v>
      </c>
      <c r="C165" s="205" t="s">
        <v>197</v>
      </c>
    </row>
    <row r="166" spans="1:3" hidden="1" x14ac:dyDescent="0.25">
      <c r="A166" s="204" t="s">
        <v>340</v>
      </c>
      <c r="B166" s="204" t="s">
        <v>348</v>
      </c>
      <c r="C166" s="204" t="s">
        <v>197</v>
      </c>
    </row>
    <row r="167" spans="1:3" hidden="1" x14ac:dyDescent="0.25">
      <c r="A167" s="205" t="s">
        <v>341</v>
      </c>
      <c r="B167" s="205" t="s">
        <v>349</v>
      </c>
      <c r="C167" s="205" t="s">
        <v>197</v>
      </c>
    </row>
    <row r="168" spans="1:3" hidden="1" x14ac:dyDescent="0.25">
      <c r="A168" s="204" t="s">
        <v>342</v>
      </c>
      <c r="B168" s="204" t="s">
        <v>350</v>
      </c>
      <c r="C168" s="204" t="s">
        <v>197</v>
      </c>
    </row>
    <row r="169" spans="1:3" hidden="1" x14ac:dyDescent="0.25">
      <c r="A169" s="205" t="s">
        <v>343</v>
      </c>
      <c r="B169" s="205" t="s">
        <v>351</v>
      </c>
      <c r="C169" s="205" t="s">
        <v>197</v>
      </c>
    </row>
    <row r="170" spans="1:3" hidden="1" x14ac:dyDescent="0.25">
      <c r="A170" s="204" t="s">
        <v>344</v>
      </c>
      <c r="B170" s="204" t="s">
        <v>352</v>
      </c>
      <c r="C170" s="204" t="s">
        <v>197</v>
      </c>
    </row>
    <row r="171" spans="1:3" hidden="1" x14ac:dyDescent="0.25">
      <c r="A171" s="205" t="s">
        <v>345</v>
      </c>
      <c r="B171" s="205" t="s">
        <v>353</v>
      </c>
      <c r="C171" s="205" t="s">
        <v>197</v>
      </c>
    </row>
    <row r="172" spans="1:3" hidden="1" x14ac:dyDescent="0.25">
      <c r="A172" s="204" t="s">
        <v>346</v>
      </c>
      <c r="B172" s="204" t="s">
        <v>354</v>
      </c>
      <c r="C172" s="204" t="s">
        <v>197</v>
      </c>
    </row>
    <row r="173" spans="1:3" ht="26.25" hidden="1" x14ac:dyDescent="0.25">
      <c r="A173" s="215" t="s">
        <v>297</v>
      </c>
      <c r="B173" s="221" t="s">
        <v>318</v>
      </c>
      <c r="C173" s="217" t="s">
        <v>197</v>
      </c>
    </row>
    <row r="174" spans="1:3" ht="26.25" hidden="1" x14ac:dyDescent="0.25">
      <c r="A174" s="205" t="s">
        <v>298</v>
      </c>
      <c r="B174" s="212" t="s">
        <v>319</v>
      </c>
      <c r="C174" s="207" t="s">
        <v>197</v>
      </c>
    </row>
    <row r="175" spans="1:3" ht="26.25" hidden="1" x14ac:dyDescent="0.25">
      <c r="A175" s="204" t="s">
        <v>299</v>
      </c>
      <c r="B175" s="213" t="s">
        <v>320</v>
      </c>
      <c r="C175" s="206" t="s">
        <v>197</v>
      </c>
    </row>
    <row r="176" spans="1:3" ht="26.25" hidden="1" x14ac:dyDescent="0.25">
      <c r="A176" s="205" t="s">
        <v>300</v>
      </c>
      <c r="B176" s="212" t="s">
        <v>321</v>
      </c>
      <c r="C176" s="207" t="s">
        <v>197</v>
      </c>
    </row>
    <row r="177" spans="1:3" ht="26.25" hidden="1" x14ac:dyDescent="0.25">
      <c r="A177" s="204" t="s">
        <v>301</v>
      </c>
      <c r="B177" s="213" t="s">
        <v>322</v>
      </c>
      <c r="C177" s="206" t="s">
        <v>197</v>
      </c>
    </row>
    <row r="178" spans="1:3" ht="26.25" hidden="1" x14ac:dyDescent="0.25">
      <c r="A178" s="205" t="s">
        <v>302</v>
      </c>
      <c r="B178" s="212" t="s">
        <v>323</v>
      </c>
      <c r="C178" s="207" t="s">
        <v>197</v>
      </c>
    </row>
    <row r="179" spans="1:3" ht="26.25" hidden="1" x14ac:dyDescent="0.25">
      <c r="A179" s="204" t="s">
        <v>303</v>
      </c>
      <c r="B179" s="213" t="s">
        <v>324</v>
      </c>
      <c r="C179" s="206" t="s">
        <v>197</v>
      </c>
    </row>
    <row r="180" spans="1:3" ht="26.25" hidden="1" x14ac:dyDescent="0.25">
      <c r="A180" s="205" t="s">
        <v>310</v>
      </c>
      <c r="B180" s="212" t="s">
        <v>331</v>
      </c>
      <c r="C180" s="207" t="s">
        <v>197</v>
      </c>
    </row>
    <row r="181" spans="1:3" ht="26.25" hidden="1" x14ac:dyDescent="0.25">
      <c r="A181" s="204" t="s">
        <v>311</v>
      </c>
      <c r="B181" s="213" t="s">
        <v>332</v>
      </c>
      <c r="C181" s="206" t="s">
        <v>197</v>
      </c>
    </row>
    <row r="182" spans="1:3" ht="26.25" hidden="1" x14ac:dyDescent="0.25">
      <c r="A182" s="205" t="s">
        <v>312</v>
      </c>
      <c r="B182" s="212" t="s">
        <v>333</v>
      </c>
      <c r="C182" s="207" t="s">
        <v>197</v>
      </c>
    </row>
    <row r="183" spans="1:3" hidden="1" x14ac:dyDescent="0.25">
      <c r="A183" s="205" t="s">
        <v>339</v>
      </c>
      <c r="B183" s="205" t="s">
        <v>347</v>
      </c>
      <c r="C183" s="205" t="s">
        <v>197</v>
      </c>
    </row>
    <row r="184" spans="1:3" hidden="1" x14ac:dyDescent="0.25">
      <c r="A184" s="204" t="s">
        <v>340</v>
      </c>
      <c r="B184" s="204" t="s">
        <v>348</v>
      </c>
      <c r="C184" s="204" t="s">
        <v>197</v>
      </c>
    </row>
    <row r="185" spans="1:3" hidden="1" x14ac:dyDescent="0.25">
      <c r="A185" s="205" t="s">
        <v>341</v>
      </c>
      <c r="B185" s="205" t="s">
        <v>349</v>
      </c>
      <c r="C185" s="205" t="s">
        <v>197</v>
      </c>
    </row>
    <row r="186" spans="1:3" hidden="1" x14ac:dyDescent="0.25">
      <c r="A186" s="204" t="s">
        <v>342</v>
      </c>
      <c r="B186" s="204" t="s">
        <v>350</v>
      </c>
      <c r="C186" s="204" t="s">
        <v>197</v>
      </c>
    </row>
    <row r="187" spans="1:3" ht="18.600000000000001" hidden="1" customHeight="1" x14ac:dyDescent="0.25">
      <c r="A187" s="205" t="s">
        <v>343</v>
      </c>
      <c r="B187" s="205" t="s">
        <v>351</v>
      </c>
      <c r="C187" s="205" t="s">
        <v>197</v>
      </c>
    </row>
    <row r="188" spans="1:3" ht="20.45" hidden="1" customHeight="1" x14ac:dyDescent="0.25">
      <c r="A188" s="204" t="s">
        <v>344</v>
      </c>
      <c r="B188" s="204" t="s">
        <v>352</v>
      </c>
      <c r="C188" s="204" t="s">
        <v>197</v>
      </c>
    </row>
  </sheetData>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2FE7-581B-4A80-8781-4561A2554080}">
  <dimension ref="A1:M79"/>
  <sheetViews>
    <sheetView topLeftCell="A28" zoomScaleNormal="100" workbookViewId="0">
      <selection activeCell="I39" sqref="I39"/>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f>Instructions!P4</f>
        <v>0</v>
      </c>
      <c r="D5" s="41"/>
      <c r="E5" s="12"/>
      <c r="F5" s="12"/>
      <c r="G5" s="13"/>
      <c r="H5" s="14"/>
      <c r="I5" s="14" t="s">
        <v>4</v>
      </c>
      <c r="J5" s="15">
        <f ca="1" xml:space="preserve"> TODAY()</f>
        <v>46036</v>
      </c>
    </row>
    <row r="6" spans="1:10" ht="6" customHeight="1" x14ac:dyDescent="0.2">
      <c r="A6" s="11"/>
      <c r="B6" s="11"/>
      <c r="C6" s="274"/>
      <c r="D6" s="274"/>
      <c r="E6" s="12"/>
      <c r="F6" s="12"/>
      <c r="G6" s="13"/>
      <c r="H6" s="14"/>
      <c r="I6" s="14"/>
      <c r="J6" s="15"/>
    </row>
    <row r="7" spans="1:10" x14ac:dyDescent="0.2">
      <c r="A7" s="11" t="s">
        <v>3</v>
      </c>
      <c r="B7" s="11"/>
      <c r="C7" s="298">
        <f>Instructions!P5</f>
        <v>0</v>
      </c>
      <c r="D7" s="298"/>
      <c r="E7" s="298"/>
      <c r="F7" s="298"/>
      <c r="G7" s="298"/>
      <c r="H7" s="145"/>
      <c r="I7" s="145" t="s">
        <v>104</v>
      </c>
      <c r="J7" s="1" t="s">
        <v>431</v>
      </c>
    </row>
    <row r="8" spans="1:10" ht="6" customHeight="1" x14ac:dyDescent="0.2">
      <c r="A8" s="11"/>
      <c r="B8" s="11"/>
      <c r="C8" s="274"/>
      <c r="D8" s="274"/>
      <c r="E8" s="274"/>
      <c r="F8" s="274"/>
      <c r="G8" s="274"/>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273"/>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IFERROR(VLOOKUP(C15,inputSchC!$A$2:$F$188,6,FALSE),"")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IFERROR(VLOOKUP(C17,inputSchC!$A$2:$F$188,6,FALSE),"")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IFERROR(VLOOKUP(C19,inputSchC!$A$2:$F$188,6,FALSE),"")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IFERROR(VLOOKUP(C21,inputSchC!$A$2:$F$188,6,FALSE),"")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IFERROR(VLOOKUP(C23,inputSchC!$A$2:$F$188,6,FALSE),"")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IFERROR(VLOOKUP(C25,inputSchC!$A$2:$F$188,6,FALSE),"")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IFERROR(VLOOKUP(C40,inputSchC!$A$2:$F$188,6,FALSE),"")</f>
        <v/>
      </c>
      <c r="I40" s="239"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IFERROR(VLOOKUP(C42,inputSchC!$A$2:$F$188,6,FALSE),"")</f>
        <v/>
      </c>
      <c r="I42" s="239"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IFERROR(VLOOKUP(C44,inputSchC!$A$2:$F$188,6,FALSE),"")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IFERROR(VLOOKUP(C46,inputSchC!$A$2:$F$188,6,FALSE),"")</f>
        <v/>
      </c>
      <c r="I46" s="26" t="str">
        <f>IF(AND(ISNUMBER(D46),ISNUMBER(G46)),ROUND(D46*G46,2),"-")</f>
        <v>-</v>
      </c>
      <c r="J46" s="281" t="str">
        <f>IF(AND(ISNUMBER(E46),ISNUMBER(H46)),IF(E46*H46&gt;=1000,(E46*H46),"-"),"-")</f>
        <v>-</v>
      </c>
    </row>
    <row r="47" spans="1:10" x14ac:dyDescent="0.2">
      <c r="A47" s="295" t="s">
        <v>7</v>
      </c>
      <c r="B47" s="295"/>
      <c r="C47" s="295"/>
      <c r="D47" s="295"/>
      <c r="E47" s="295"/>
      <c r="F47" s="295"/>
      <c r="G47" s="295"/>
      <c r="H47" s="295"/>
      <c r="I47" s="272"/>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72"/>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187"/>
    </row>
    <row r="79" spans="1:10" x14ac:dyDescent="0.2">
      <c r="A79" s="39"/>
      <c r="B79" s="39"/>
      <c r="C79" s="280" t="s">
        <v>458</v>
      </c>
      <c r="D79" s="40"/>
      <c r="E79" s="8"/>
      <c r="F79" s="8"/>
      <c r="G79" s="9"/>
      <c r="H79" s="9"/>
      <c r="I79" s="9"/>
      <c r="J79" s="187" t="str">
        <f>Instructions!M11</f>
        <v>EFL-TM-ESS-01(13)</v>
      </c>
    </row>
  </sheetData>
  <dataConsolidate/>
  <mergeCells count="11">
    <mergeCell ref="A36:J36"/>
    <mergeCell ref="A1:J1"/>
    <mergeCell ref="C7:G7"/>
    <mergeCell ref="A12:J12"/>
    <mergeCell ref="A27:J27"/>
    <mergeCell ref="A28:J28"/>
    <mergeCell ref="A37:J37"/>
    <mergeCell ref="A47:H47"/>
    <mergeCell ref="A50:J50"/>
    <mergeCell ref="A51:J51"/>
    <mergeCell ref="A60:H60"/>
  </mergeCells>
  <conditionalFormatting sqref="H19">
    <cfRule type="expression" dxfId="40" priority="10">
      <formula>AND($H19=0,$E19&gt;0)=TRUE</formula>
    </cfRule>
  </conditionalFormatting>
  <conditionalFormatting sqref="H21">
    <cfRule type="expression" dxfId="39" priority="9">
      <formula>AND($H21=0,$E21&gt;0)=TRUE</formula>
    </cfRule>
  </conditionalFormatting>
  <conditionalFormatting sqref="H23">
    <cfRule type="expression" dxfId="38" priority="8">
      <formula>AND($H23=0,$E23&gt;0)=TRUE</formula>
    </cfRule>
  </conditionalFormatting>
  <conditionalFormatting sqref="H25">
    <cfRule type="expression" dxfId="37" priority="7">
      <formula>AND($H25=0,$E25&gt;0)=TRUE</formula>
    </cfRule>
  </conditionalFormatting>
  <conditionalFormatting sqref="H40">
    <cfRule type="expression" dxfId="36" priority="21">
      <formula>AND($H40=0,$E40&gt;0)=TRUE</formula>
    </cfRule>
  </conditionalFormatting>
  <conditionalFormatting sqref="H42">
    <cfRule type="expression" dxfId="35" priority="6">
      <formula>AND($H42=0,$E42&gt;0)=TRUE</formula>
    </cfRule>
  </conditionalFormatting>
  <conditionalFormatting sqref="H44">
    <cfRule type="expression" dxfId="34" priority="5">
      <formula>AND($H44=0,$E44&gt;0)=TRUE</formula>
    </cfRule>
  </conditionalFormatting>
  <conditionalFormatting sqref="H46">
    <cfRule type="expression" dxfId="33" priority="3">
      <formula>AND($H46=0,$E46&gt;0)=TRUE</formula>
    </cfRule>
  </conditionalFormatting>
  <conditionalFormatting sqref="H15">
    <cfRule type="expression" dxfId="1" priority="2">
      <formula>AND($H15=0,$E15&gt;0)=TRUE</formula>
    </cfRule>
  </conditionalFormatting>
  <conditionalFormatting sqref="H17">
    <cfRule type="expression" dxfId="0" priority="1">
      <formula>AND($H17=0,$E17&gt;0)=TRUE</formula>
    </cfRule>
  </conditionalFormatting>
  <dataValidations count="9">
    <dataValidation type="whole" operator="greaterThanOrEqual" allowBlank="1" showInputMessage="1" showErrorMessage="1" error="Bid decimals set to zero._x000a__x000a_Contact Heidi Hirsbrunner (X3622)_x000a_                _x000a_to modify Incentive Spreadsheet." sqref="E31 E33:E35 E40:E42 E44:E46" xr:uid="{AAB85B99-F0A3-426F-91D3-79C1CD5BFCFD}">
      <formula1>0</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CCD81DF5-29CF-4671-A3A4-DDA41A05F855}">
      <formula1>"  , A, B, C, D, E, F, G, W, X, Y, Z"</formula1>
    </dataValidation>
    <dataValidation type="list" allowBlank="1" showInputMessage="1" showErrorMessage="1" error="Please use the drop-down menu to select the project units" promptTitle="Select Units" prompt="Select Metric or US Customary" sqref="J9" xr:uid="{81BC97F6-E2FD-413D-960A-21FE5CFFD6D0}">
      <formula1>"METRIC, US CUSTOMARY"</formula1>
    </dataValidation>
    <dataValidation allowBlank="1" showInputMessage="1" showErrorMessage="1" error="Please use the drop-down menu to select the FP version" promptTitle="Select FP Version" prompt="In &quot;Instructions&quot; Tab" sqref="E3" xr:uid="{9C859062-9E16-4A79-91F1-8A8673D2AF14}"/>
    <dataValidation allowBlank="1" showErrorMessage="1" promptTitle="Enter project number" prompt="Example:  CA FTNP JOTR 11(5)" sqref="C5:D5" xr:uid="{F57846BE-BC50-4F8F-B0CF-AD7E19B686B7}"/>
    <dataValidation allowBlank="1" showErrorMessage="1" promptTitle="Enter project name" prompt="Example:  Pinto Basin Road" sqref="C7:G7" xr:uid="{E46FE428-FA1B-4C2D-B502-4F5D6868F915}"/>
    <dataValidation type="list" allowBlank="1" showInputMessage="1" showErrorMessage="1" promptTitle="Select Schedule Type " prompt="Select Schedule or Option " sqref="I7" xr:uid="{410A35D3-FF61-459C-AE95-865307016372}">
      <formula1>", Schedule: , Option: "</formula1>
    </dataValidation>
    <dataValidation type="list" allowBlank="1" showErrorMessage="1" promptTitle="Select Schedule Type " prompt="Select Schedule or Option " sqref="H7" xr:uid="{A078D30A-0E5A-424F-B691-D0A997A5C11C}">
      <formula1>", Schedule: , Option: "</formula1>
    </dataValidation>
    <dataValidation allowBlank="1" showInputMessage="1" showErrorMessage="1" prompt="If your Q_Ton unit price is highlighted in red, ensure quantity and unit price have both been entered, then check the line item in the &quot;inputSchA&quot; tab to review further instructions. " sqref="H46 H42 H40 H44 H15 H19 H21 H25 H23 H17" xr:uid="{F3E27E05-E530-4D66-A063-4531AD9FA763}"/>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0CC8B2C-D79E-45F8-892E-FD8F4B0EDD7D}">
          <x14:formula1>
            <xm:f>inputSchA!$A$144:$A$172</xm:f>
          </x14:formula1>
          <xm:sqref>C41</xm:sqref>
        </x14:dataValidation>
        <x14:dataValidation type="list" allowBlank="1" showInputMessage="1" showErrorMessage="1" xr:uid="{D04B7092-1869-4D4C-BC70-908D44A8A3B2}">
          <x14:formula1>
            <xm:f>inputSchA!$A$142:$A$142</xm:f>
          </x14:formula1>
          <xm:sqref>C45</xm:sqref>
        </x14:dataValidation>
        <x14:dataValidation type="list" allowBlank="1" showInputMessage="1" showErrorMessage="1" xr:uid="{E61D13DE-F6F5-491F-A4F0-6EB46E000F10}">
          <x14:formula1>
            <xm:f>inputSchA!$A$144:$A$188</xm:f>
          </x14:formula1>
          <xm:sqref>A54 C35 C33 A58 A56 C31</xm:sqref>
        </x14:dataValidation>
        <x14:dataValidation type="list" allowBlank="1" showInputMessage="1" showErrorMessage="1" prompt="For FP-24 Projects, select applicable 404 pay item from the list_x000a_For FP-14 Projects, select pay item 43101-0000 or 43102-0000 from the list" xr:uid="{3A6B244E-A8BE-4087-A2B7-057D1763ADF1}">
          <x14:formula1>
            <xm:f>inputSchA!$A$136:$A$143</xm:f>
          </x14:formula1>
          <xm:sqref>C46 C40 C42 C44</xm:sqref>
        </x14:dataValidation>
        <x14:dataValidation type="list" allowBlank="1" showInputMessage="1" showErrorMessage="1" xr:uid="{262BA360-42F2-4F6F-BB79-6448F61C0488}">
          <x14:formula1>
            <xm:f>inputSchA!$A$2:$A$143</xm:f>
          </x14:formula1>
          <xm:sqref>C15 C17 C19 C21 C23 C25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F1F8-5840-4272-ADD4-AD7A04E6154B}">
  <dimension ref="A1:P188"/>
  <sheetViews>
    <sheetView workbookViewId="0">
      <pane xSplit="3" ySplit="1" topLeftCell="D2" activePane="bottomRight" state="frozen"/>
      <selection activeCell="T35" sqref="T35"/>
      <selection pane="topRight" activeCell="T35" sqref="T35"/>
      <selection pane="bottomLeft" activeCell="T35" sqref="T35"/>
      <selection pane="bottomRight" activeCell="J24" sqref="J24"/>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C'!$C$15:$E$58,3,FALSE),"")</f>
        <v/>
      </c>
      <c r="E2" s="238" t="str">
        <f>IFERROR(VLOOKUP($A2,'SCH C'!$C$15:$G$58,5,FALSE),"")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C'!$C$15:$E$58,3,FALSE),"")</f>
        <v/>
      </c>
      <c r="E3" s="238" t="str">
        <f>IFERROR(VLOOKUP($A3,'SCH C'!$C$15:$G$58,5,FALSE),"")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C'!$C$15:$E$58,3,FALSE),"")</f>
        <v/>
      </c>
      <c r="E4" s="238" t="str">
        <f>IFERROR(VLOOKUP($A4,'SCH C'!$C$15:$G$58,5,FALSE),"")</f>
        <v/>
      </c>
      <c r="F4" s="26" t="e">
        <f t="shared" si="0"/>
        <v>#VALUE!</v>
      </c>
    </row>
    <row r="5" spans="1:6" x14ac:dyDescent="0.25">
      <c r="A5" s="205" t="s">
        <v>146</v>
      </c>
      <c r="B5" s="205" t="s">
        <v>200</v>
      </c>
      <c r="C5" s="207" t="s">
        <v>197</v>
      </c>
      <c r="D5" s="223" t="str">
        <f>IFERROR(VLOOKUP($A5,'SCH C'!$C$15:$E$58,3,FALSE),"")</f>
        <v/>
      </c>
      <c r="E5" s="238" t="str">
        <f>IFERROR(VLOOKUP($A5,'SCH C'!$C$15:$G$58,5,FALSE),"")</f>
        <v/>
      </c>
      <c r="F5" s="26" t="e">
        <f t="shared" si="0"/>
        <v>#VALUE!</v>
      </c>
    </row>
    <row r="6" spans="1:6" x14ac:dyDescent="0.25">
      <c r="A6" s="204" t="s">
        <v>147</v>
      </c>
      <c r="B6" s="204" t="s">
        <v>201</v>
      </c>
      <c r="C6" s="206" t="s">
        <v>197</v>
      </c>
      <c r="D6" s="223" t="str">
        <f>IFERROR(VLOOKUP($A6,'SCH C'!$C$15:$E$58,3,FALSE),"")</f>
        <v/>
      </c>
      <c r="E6" s="238" t="str">
        <f>IFERROR(VLOOKUP($A6,'SCH C'!$C$15:$G$58,5,FALSE),"")</f>
        <v/>
      </c>
      <c r="F6" s="26" t="e">
        <f t="shared" si="0"/>
        <v>#VALUE!</v>
      </c>
    </row>
    <row r="7" spans="1:6" x14ac:dyDescent="0.25">
      <c r="A7" s="205" t="s">
        <v>148</v>
      </c>
      <c r="B7" s="205" t="s">
        <v>196</v>
      </c>
      <c r="C7" s="207" t="s">
        <v>29</v>
      </c>
      <c r="D7" s="223" t="str">
        <f>IFERROR(VLOOKUP($A7,'SCH C'!$C$15:$E$58,3,FALSE),"")</f>
        <v/>
      </c>
      <c r="E7" s="238" t="str">
        <f>IFERROR(VLOOKUP($A7,'SCH C'!$C$15:$G$58,5,FALSE),"")</f>
        <v/>
      </c>
      <c r="F7" s="224"/>
    </row>
    <row r="8" spans="1:6" x14ac:dyDescent="0.25">
      <c r="A8" s="204" t="s">
        <v>149</v>
      </c>
      <c r="B8" s="204" t="s">
        <v>202</v>
      </c>
      <c r="C8" s="206" t="s">
        <v>29</v>
      </c>
      <c r="D8" s="223" t="str">
        <f>IFERROR(VLOOKUP($A8,'SCH C'!$C$15:$E$58,3,FALSE),"")</f>
        <v/>
      </c>
      <c r="E8" s="238" t="str">
        <f>IFERROR(VLOOKUP($A8,'SCH C'!$C$15:$G$58,5,FALSE),"")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C'!$C$15:$E$58,3,FALSE),"")</f>
        <v/>
      </c>
      <c r="E9" s="238" t="str">
        <f>IFERROR(VLOOKUP($A9,'SCH C'!$C$15:$G$58,5,FALSE),"")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C'!$C$15:$E$58,3,FALSE),"")</f>
        <v/>
      </c>
      <c r="E10" s="238" t="str">
        <f>IFERROR(VLOOKUP($A10,'SCH C'!$C$15:$G$58,5,FALSE),"")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C'!$C$15:$E$58,3,FALSE),"")</f>
        <v/>
      </c>
      <c r="E11" s="238" t="str">
        <f>IFERROR(VLOOKUP($A11,'SCH C'!$C$15:$G$58,5,FALSE),"")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C'!$C$15:$E$58,3,FALSE),"")</f>
        <v/>
      </c>
      <c r="E12" s="238" t="str">
        <f>IFERROR(VLOOKUP($A12,'SCH C'!$C$15:$G$58,5,FALSE),"")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C'!$C$15:$E$58,3,FALSE),"")</f>
        <v/>
      </c>
      <c r="E13" s="238" t="str">
        <f>IFERROR(VLOOKUP($A13,'SCH C'!$C$15:$G$58,5,FALSE),"")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C'!$C$15:$E$58,3,FALSE),"")</f>
        <v/>
      </c>
      <c r="E14" s="238" t="str">
        <f>IFERROR(VLOOKUP($A14,'SCH C'!$C$15:$G$58,5,FALSE),"")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C'!$C$15:$E$58,3,FALSE),"")</f>
        <v/>
      </c>
      <c r="E15" s="238" t="str">
        <f>IFERROR(VLOOKUP($A15,'SCH C'!$C$15:$G$58,5,FALSE),"")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C'!$C$15:$E$58,3,FALSE),"")</f>
        <v/>
      </c>
      <c r="E16" s="238" t="str">
        <f>IFERROR(VLOOKUP($A16,'SCH C'!$C$15:$G$58,5,FALSE),"")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C'!$C$15:$E$58,3,FALSE),"")</f>
        <v/>
      </c>
      <c r="E17" s="238" t="str">
        <f>IFERROR(VLOOKUP($A17,'SCH C'!$C$15:$G$58,5,FALSE),"")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C'!$C$15:$E$58,3,FALSE),"")</f>
        <v/>
      </c>
      <c r="E18" s="238" t="str">
        <f>IFERROR(VLOOKUP($A18,'SCH C'!$C$15:$G$58,5,FALSE),"")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C'!$C$15:$E$58,3,FALSE),"")</f>
        <v/>
      </c>
      <c r="E19" s="238" t="str">
        <f>IFERROR(VLOOKUP($A19,'SCH C'!$C$15:$G$58,5,FALSE),"")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C'!$C$15:$E$58,3,FALSE),"")</f>
        <v/>
      </c>
      <c r="E20" s="238" t="str">
        <f>IFERROR(VLOOKUP($A20,'SCH C'!$C$15:$G$58,5,FALSE),"")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C'!$C$15:$E$58,3,FALSE),"")</f>
        <v/>
      </c>
      <c r="E21" s="238" t="str">
        <f>IFERROR(VLOOKUP($A21,'SCH C'!$C$15:$G$58,5,FALSE),"")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C'!$C$15:$E$58,3,FALSE),"")</f>
        <v/>
      </c>
      <c r="E22" s="238" t="str">
        <f>IFERROR(VLOOKUP($A22,'SCH C'!$C$15:$G$58,5,FALSE),"")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C'!$C$15:$E$58,3,FALSE),"")</f>
        <v/>
      </c>
      <c r="E23" s="238" t="str">
        <f>IFERROR(VLOOKUP($A23,'SCH C'!$C$15:$G$58,5,FALSE),"")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C'!$C$15:$E$58,3,FALSE),"")</f>
        <v/>
      </c>
      <c r="E24" s="238" t="str">
        <f>IFERROR(VLOOKUP($A24,'SCH C'!$C$15:$G$58,5,FALSE),"")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C'!$C$15:$E$58,3,FALSE),"")</f>
        <v/>
      </c>
      <c r="E25" s="238" t="str">
        <f>IFERROR(VLOOKUP($A25,'SCH C'!$C$15:$G$58,5,FALSE),"")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C'!$C$15:$E$58,3,FALSE),"")</f>
        <v/>
      </c>
      <c r="E26" s="238" t="str">
        <f>IFERROR(VLOOKUP($A26,'SCH C'!$C$15:$G$58,5,FALSE),"")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C'!$C$15:$E$58,3,FALSE),"")</f>
        <v/>
      </c>
      <c r="E27" s="238" t="str">
        <f>IFERROR(VLOOKUP($A27,'SCH C'!$C$15:$G$58,5,FALSE),"")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C'!$C$15:$E$58,3,FALSE),"")</f>
        <v/>
      </c>
      <c r="E28" s="238" t="str">
        <f>IFERROR(VLOOKUP($A28,'SCH C'!$C$15:$G$58,5,FALSE),"")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C'!$C$15:$E$58,3,FALSE),"")</f>
        <v/>
      </c>
      <c r="E29" s="238" t="str">
        <f>IFERROR(VLOOKUP($A29,'SCH C'!$C$15:$G$58,5,FALSE),"")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C'!$C$15:$E$58,3,FALSE),"")</f>
        <v/>
      </c>
      <c r="E30" s="238" t="str">
        <f>IFERROR(VLOOKUP($A30,'SCH C'!$C$15:$G$58,5,FALSE),"")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C'!$C$15:$E$58,3,FALSE),"")</f>
        <v/>
      </c>
      <c r="E31" s="238" t="str">
        <f>IFERROR(VLOOKUP($A31,'SCH C'!$C$15:$G$58,5,FALSE),"")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C'!$C$15:$E$58,3,FALSE),"")</f>
        <v/>
      </c>
      <c r="E32" s="238" t="str">
        <f>IFERROR(VLOOKUP($A32,'SCH C'!$C$15:$G$58,5,FALSE),"")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C'!$C$15:$E$58,3,FALSE),"")</f>
        <v/>
      </c>
      <c r="E33" s="238" t="str">
        <f>IFERROR(VLOOKUP($A33,'SCH C'!$C$15:$G$58,5,FALSE),"")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C'!$C$15:$E$58,3,FALSE),"")</f>
        <v/>
      </c>
      <c r="E34" s="238" t="str">
        <f>IFERROR(VLOOKUP($A34,'SCH C'!$C$15:$G$58,5,FALSE),"")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C'!$C$15:$E$58,3,FALSE),"")</f>
        <v/>
      </c>
      <c r="E35" s="238" t="str">
        <f>IFERROR(VLOOKUP($A35,'SCH C'!$C$15:$G$58,5,FALSE),"")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C'!$C$15:$E$58,3,FALSE),"")</f>
        <v/>
      </c>
      <c r="E36" s="238" t="str">
        <f>IFERROR(VLOOKUP($A36,'SCH C'!$C$15:$G$58,5,FALSE),"")</f>
        <v/>
      </c>
      <c r="F36" s="26" t="e">
        <f t="shared" si="1"/>
        <v>#VALUE!</v>
      </c>
    </row>
    <row r="37" spans="1:6" x14ac:dyDescent="0.25">
      <c r="A37" s="205" t="s">
        <v>141</v>
      </c>
      <c r="B37" s="205" t="s">
        <v>201</v>
      </c>
      <c r="C37" s="207" t="s">
        <v>227</v>
      </c>
      <c r="D37" s="223" t="str">
        <f>IFERROR(VLOOKUP($A37,'SCH C'!$C$15:$E$58,3,FALSE),"")</f>
        <v/>
      </c>
      <c r="E37" s="238" t="str">
        <f>IFERROR(VLOOKUP($A37,'SCH C'!$C$15:$G$58,5,FALSE),"")</f>
        <v/>
      </c>
      <c r="F37" s="26" t="e">
        <f t="shared" si="1"/>
        <v>#VALUE!</v>
      </c>
    </row>
    <row r="38" spans="1:6" x14ac:dyDescent="0.25">
      <c r="A38" s="204" t="s">
        <v>178</v>
      </c>
      <c r="B38" s="204" t="s">
        <v>228</v>
      </c>
      <c r="C38" s="206" t="s">
        <v>197</v>
      </c>
      <c r="D38" s="223" t="str">
        <f>IFERROR(VLOOKUP($A38,'SCH C'!$C$15:$E$58,3,FALSE),"")</f>
        <v/>
      </c>
      <c r="E38" s="238" t="str">
        <f>IFERROR(VLOOKUP($A38,'SCH C'!$C$15:$G$58,5,FALSE),"")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C'!$C$15:$E$58,3,FALSE),"")</f>
        <v/>
      </c>
      <c r="E39" s="238" t="str">
        <f>IFERROR(VLOOKUP($A39,'SCH C'!$C$15:$G$58,5,FALSE),"")</f>
        <v/>
      </c>
      <c r="F39" s="26" t="e">
        <f t="shared" si="2"/>
        <v>#VALUE!</v>
      </c>
    </row>
    <row r="40" spans="1:6" x14ac:dyDescent="0.25">
      <c r="A40" s="204" t="s">
        <v>180</v>
      </c>
      <c r="B40" s="204" t="s">
        <v>230</v>
      </c>
      <c r="C40" s="206" t="s">
        <v>197</v>
      </c>
      <c r="D40" s="223" t="str">
        <f>IFERROR(VLOOKUP($A40,'SCH C'!$C$15:$E$58,3,FALSE),"")</f>
        <v/>
      </c>
      <c r="E40" s="238" t="str">
        <f>IFERROR(VLOOKUP($A40,'SCH C'!$C$15:$G$58,5,FALSE),"")</f>
        <v/>
      </c>
      <c r="F40" s="26" t="e">
        <f t="shared" si="2"/>
        <v>#VALUE!</v>
      </c>
    </row>
    <row r="41" spans="1:6" x14ac:dyDescent="0.25">
      <c r="A41" s="205" t="s">
        <v>181</v>
      </c>
      <c r="B41" s="205" t="s">
        <v>231</v>
      </c>
      <c r="C41" s="207" t="s">
        <v>29</v>
      </c>
      <c r="D41" s="223" t="str">
        <f>IFERROR(VLOOKUP($A41,'SCH C'!$C$15:$E$58,3,FALSE),"")</f>
        <v/>
      </c>
      <c r="E41" s="238" t="str">
        <f>IFERROR(VLOOKUP($A41,'SCH C'!$C$15:$G$58,5,FALSE),"")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C'!$C$15:$E$58,3,FALSE),"")</f>
        <v/>
      </c>
      <c r="E42" s="238" t="str">
        <f>IFERROR(VLOOKUP($A42,'SCH C'!$C$15:$G$58,5,FALSE),"")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C'!$C$15:$E$58,3,FALSE),"")</f>
        <v/>
      </c>
      <c r="E43" s="238" t="str">
        <f>IFERROR(VLOOKUP($A43,'SCH C'!$C$15:$G$58,5,FALSE),"")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C'!$C$15:$E$58,3,FALSE),"")</f>
        <v/>
      </c>
      <c r="E44" s="238" t="str">
        <f>IFERROR(VLOOKUP($A44,'SCH C'!$C$15:$G$58,5,FALSE),"")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C'!$C$15:$E$58,3,FALSE),"")</f>
        <v/>
      </c>
      <c r="E45" s="238" t="str">
        <f>IFERROR(VLOOKUP($A45,'SCH C'!$C$15:$G$58,5,FALSE),"")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C'!$C$15:$E$58,3,FALSE),"")</f>
        <v/>
      </c>
      <c r="E46" s="238" t="str">
        <f>IFERROR(VLOOKUP($A46,'SCH C'!$C$15:$G$58,5,FALSE),"")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C'!$C$15:$E$58,3,FALSE),"")</f>
        <v/>
      </c>
      <c r="E47" s="238" t="str">
        <f>IFERROR(VLOOKUP($A47,'SCH C'!$C$15:$G$58,5,FALSE),"")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C'!$C$15:$E$58,3,FALSE),"")</f>
        <v/>
      </c>
      <c r="E48" s="238" t="str">
        <f>IFERROR(VLOOKUP($A48,'SCH C'!$C$15:$G$58,5,FALSE),"")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C'!$C$15:$E$58,3,FALSE),"")</f>
        <v/>
      </c>
      <c r="E49" s="238" t="str">
        <f>IFERROR(VLOOKUP($A49,'SCH C'!$C$15:$G$58,5,FALSE),"")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C'!$C$15:$E$58,3,FALSE),"")</f>
        <v/>
      </c>
      <c r="E50" s="238" t="str">
        <f>IFERROR(VLOOKUP($A50,'SCH C'!$C$15:$G$58,5,FALSE),"")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C'!$C$15:$E$58,3,FALSE),"")</f>
        <v/>
      </c>
      <c r="E51" s="238" t="str">
        <f>IFERROR(VLOOKUP($A51,'SCH C'!$C$15:$G$58,5,FALSE),"")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C'!$C$15:$E$58,3,FALSE),"")</f>
        <v/>
      </c>
      <c r="E52" s="238" t="str">
        <f>IFERROR(VLOOKUP($A52,'SCH C'!$C$15:$G$58,5,FALSE),"")</f>
        <v/>
      </c>
      <c r="F52" s="26" t="e">
        <f t="shared" si="3"/>
        <v>#VALUE!</v>
      </c>
    </row>
    <row r="53" spans="1:6" x14ac:dyDescent="0.25">
      <c r="A53" s="205" t="s">
        <v>193</v>
      </c>
      <c r="B53" s="205" t="s">
        <v>230</v>
      </c>
      <c r="C53" s="207" t="s">
        <v>227</v>
      </c>
      <c r="D53" s="223" t="str">
        <f>IFERROR(VLOOKUP($A53,'SCH C'!$C$15:$E$58,3,FALSE),"")</f>
        <v/>
      </c>
      <c r="E53" s="238" t="str">
        <f>IFERROR(VLOOKUP($A53,'SCH C'!$C$15:$G$58,5,FALSE),"")</f>
        <v/>
      </c>
      <c r="F53" s="26" t="e">
        <f t="shared" si="3"/>
        <v>#VALUE!</v>
      </c>
    </row>
    <row r="54" spans="1:6" x14ac:dyDescent="0.25">
      <c r="A54" s="204" t="s">
        <v>194</v>
      </c>
      <c r="B54" s="204" t="s">
        <v>241</v>
      </c>
      <c r="C54" s="206" t="s">
        <v>197</v>
      </c>
      <c r="D54" s="223" t="str">
        <f>IFERROR(VLOOKUP($A54,'SCH C'!$C$15:$E$58,3,FALSE),"")</f>
        <v/>
      </c>
      <c r="E54" s="238" t="str">
        <f>IFERROR(VLOOKUP($A54,'SCH C'!$C$15:$G$58,5,FALSE),"")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C'!$C$15:$E$58,3,FALSE),"")</f>
        <v/>
      </c>
      <c r="E55" s="238" t="str">
        <f>IFERROR(VLOOKUP($A55,'SCH C'!$C$15:$G$58,5,FALSE),"")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C'!$C$15:$E$58,3,FALSE),"")</f>
        <v/>
      </c>
      <c r="E56" s="238" t="str">
        <f>IFERROR(VLOOKUP($A56,'SCH C'!$C$15:$G$58,5,FALSE),"")</f>
        <v/>
      </c>
      <c r="F56" s="26" t="e">
        <f t="shared" si="4"/>
        <v>#VALUE!</v>
      </c>
    </row>
    <row r="57" spans="1:6" x14ac:dyDescent="0.25">
      <c r="A57" s="247" t="s">
        <v>364</v>
      </c>
      <c r="B57" s="249" t="s">
        <v>367</v>
      </c>
      <c r="C57" s="206" t="s">
        <v>197</v>
      </c>
      <c r="D57" s="223" t="str">
        <f>IFERROR(VLOOKUP($A57,'SCH C'!$C$15:$E$58,3,FALSE),"")</f>
        <v/>
      </c>
      <c r="E57" s="238" t="str">
        <f>IFERROR(VLOOKUP($A57,'SCH C'!$C$15:$G$58,5,FALSE),"")</f>
        <v/>
      </c>
      <c r="F57" s="26" t="e">
        <f t="shared" si="4"/>
        <v>#VALUE!</v>
      </c>
    </row>
    <row r="58" spans="1:6" x14ac:dyDescent="0.25">
      <c r="A58" s="248" t="s">
        <v>368</v>
      </c>
      <c r="B58" s="250" t="s">
        <v>241</v>
      </c>
      <c r="C58" s="250" t="s">
        <v>29</v>
      </c>
      <c r="D58" s="223" t="str">
        <f>IFERROR(VLOOKUP($A58,'SCH C'!$C$15:$E$58,3,FALSE),"")</f>
        <v/>
      </c>
      <c r="E58" s="238" t="str">
        <f>IFERROR(VLOOKUP($A58,'SCH C'!$C$15:$G$58,5,FALSE),"")</f>
        <v/>
      </c>
      <c r="F58" s="26"/>
    </row>
    <row r="59" spans="1:6" x14ac:dyDescent="0.25">
      <c r="A59" s="247" t="s">
        <v>369</v>
      </c>
      <c r="B59" s="249" t="s">
        <v>386</v>
      </c>
      <c r="C59" s="249" t="s">
        <v>29</v>
      </c>
      <c r="D59" s="223" t="str">
        <f>IFERROR(VLOOKUP($A59,'SCH C'!$C$15:$E$58,3,FALSE),"")</f>
        <v/>
      </c>
      <c r="E59" s="238" t="str">
        <f>IFERROR(VLOOKUP($A59,'SCH C'!$C$15:$G$58,5,FALSE),"")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C'!$C$15:$E$58,3,FALSE),"")</f>
        <v/>
      </c>
      <c r="E60" s="238" t="str">
        <f>IFERROR(VLOOKUP($A60,'SCH C'!$C$15:$G$58,5,FALSE),"")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C'!$C$15:$E$58,3,FALSE),"")</f>
        <v/>
      </c>
      <c r="E61" s="238" t="str">
        <f>IFERROR(VLOOKUP($A61,'SCH C'!$C$15:$G$58,5,FALSE),"")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C'!$C$15:$E$58,3,FALSE),"")</f>
        <v/>
      </c>
      <c r="E62" s="238" t="str">
        <f>IFERROR(VLOOKUP($A62,'SCH C'!$C$15:$G$58,5,FALSE),"")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C'!$C$15:$E$58,3,FALSE),"")</f>
        <v/>
      </c>
      <c r="E63" s="238" t="str">
        <f>IFERROR(VLOOKUP($A63,'SCH C'!$C$15:$G$58,5,FALSE),"")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C'!$C$15:$E$58,3,FALSE),"")</f>
        <v/>
      </c>
      <c r="E64" s="238" t="str">
        <f>IFERROR(VLOOKUP($A64,'SCH C'!$C$15:$G$58,5,FALSE),"")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C'!$C$15:$E$58,3,FALSE),"")</f>
        <v/>
      </c>
      <c r="E65" s="238" t="str">
        <f>IFERROR(VLOOKUP($A65,'SCH C'!$C$15:$G$58,5,FALSE),"")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C'!$C$15:$E$58,3,FALSE),"")</f>
        <v/>
      </c>
      <c r="E66" s="238" t="str">
        <f>IFERROR(VLOOKUP($A66,'SCH C'!$C$15:$G$58,5,FALSE),"")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C'!$C$15:$E$58,3,FALSE),"")</f>
        <v/>
      </c>
      <c r="E67" s="238" t="str">
        <f>IFERROR(VLOOKUP($A67,'SCH C'!$C$15:$G$58,5,FALSE),"")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C'!$C$15:$E$58,3,FALSE),"")</f>
        <v/>
      </c>
      <c r="E68" s="238" t="str">
        <f>IFERROR(VLOOKUP($A68,'SCH C'!$C$15:$G$58,5,FALSE),"")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C'!$C$15:$E$58,3,FALSE),"")</f>
        <v/>
      </c>
      <c r="E69" s="238" t="str">
        <f>IFERROR(VLOOKUP($A69,'SCH C'!$C$15:$G$58,5,FALSE),"")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C'!$C$15:$E$58,3,FALSE),"")</f>
        <v/>
      </c>
      <c r="E70" s="238" t="str">
        <f>IFERROR(VLOOKUP($A70,'SCH C'!$C$15:$G$58,5,FALSE),"")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C'!$C$15:$E$58,3,FALSE),"")</f>
        <v/>
      </c>
      <c r="E71" s="238" t="str">
        <f>IFERROR(VLOOKUP($A71,'SCH C'!$C$15:$G$58,5,FALSE),"")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C'!$C$15:$E$58,3,FALSE),"")</f>
        <v/>
      </c>
      <c r="E72" s="238" t="str">
        <f>IFERROR(VLOOKUP($A72,'SCH C'!$C$15:$G$58,5,FALSE),"")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C'!$C$15:$E$58,3,FALSE),"")</f>
        <v/>
      </c>
      <c r="E73" s="238" t="str">
        <f>IFERROR(VLOOKUP($A73,'SCH C'!$C$15:$G$58,5,FALSE),"")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C'!$C$15:$E$58,3,FALSE),"")</f>
        <v/>
      </c>
      <c r="E74" s="238" t="str">
        <f>IFERROR(VLOOKUP($A74,'SCH C'!$C$15:$G$58,5,FALSE),"")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C'!$C$15:$E$58,3,FALSE),"")</f>
        <v/>
      </c>
      <c r="E75" s="238" t="str">
        <f>IFERROR(VLOOKUP($A75,'SCH C'!$C$15:$G$58,5,FALSE),"")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C'!$C$15:$E$58,3,FALSE),"")</f>
        <v/>
      </c>
      <c r="E76" s="238" t="str">
        <f>IFERROR(VLOOKUP($A76,'SCH C'!$C$15:$G$58,5,FALSE),"")</f>
        <v/>
      </c>
      <c r="F76" s="26" t="e">
        <f t="shared" si="5"/>
        <v>#VALUE!</v>
      </c>
    </row>
    <row r="77" spans="1:6" x14ac:dyDescent="0.25">
      <c r="A77" s="247" t="s">
        <v>385</v>
      </c>
      <c r="B77" s="249" t="s">
        <v>367</v>
      </c>
      <c r="C77" s="249" t="s">
        <v>227</v>
      </c>
      <c r="D77" s="223" t="str">
        <f>IFERROR(VLOOKUP($A77,'SCH C'!$C$15:$E$58,3,FALSE),"")</f>
        <v/>
      </c>
      <c r="E77" s="238" t="str">
        <f>IFERROR(VLOOKUP($A77,'SCH C'!$C$15:$G$58,5,FALSE),"")</f>
        <v/>
      </c>
      <c r="F77" s="26" t="e">
        <f t="shared" si="5"/>
        <v>#VALUE!</v>
      </c>
    </row>
    <row r="78" spans="1:6" x14ac:dyDescent="0.25">
      <c r="A78" s="255" t="s">
        <v>401</v>
      </c>
      <c r="B78" s="256" t="s">
        <v>261</v>
      </c>
      <c r="C78" s="256" t="s">
        <v>197</v>
      </c>
      <c r="D78" s="223" t="str">
        <f>IFERROR(VLOOKUP($A78,'SCH C'!$C$15:$E$58,3,FALSE),"")</f>
        <v/>
      </c>
      <c r="E78" s="238" t="str">
        <f>IFERROR(VLOOKUP($A78,'SCH C'!$C$15:$G$58,5,FALSE),"")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C'!$C$15:$E$58,3,FALSE),"")</f>
        <v/>
      </c>
      <c r="E79" s="238" t="str">
        <f>IFERROR(VLOOKUP($A79,'SCH C'!$C$15:$G$58,5,FALSE),"")</f>
        <v/>
      </c>
      <c r="F79" s="26" t="e">
        <f t="shared" si="6"/>
        <v>#VALUE!</v>
      </c>
    </row>
    <row r="80" spans="1:6" x14ac:dyDescent="0.25">
      <c r="A80" s="255" t="s">
        <v>403</v>
      </c>
      <c r="B80" s="256" t="s">
        <v>263</v>
      </c>
      <c r="C80" s="256" t="s">
        <v>197</v>
      </c>
      <c r="D80" s="223" t="str">
        <f>IFERROR(VLOOKUP($A80,'SCH C'!$C$15:$E$58,3,FALSE),"")</f>
        <v/>
      </c>
      <c r="E80" s="238" t="str">
        <f>IFERROR(VLOOKUP($A80,'SCH C'!$C$15:$G$58,5,FALSE),"")</f>
        <v/>
      </c>
      <c r="F80" s="26" t="e">
        <f t="shared" si="6"/>
        <v>#VALUE!</v>
      </c>
    </row>
    <row r="81" spans="1:6" x14ac:dyDescent="0.25">
      <c r="A81" s="257" t="s">
        <v>404</v>
      </c>
      <c r="B81" s="258" t="s">
        <v>264</v>
      </c>
      <c r="C81" s="258" t="s">
        <v>197</v>
      </c>
      <c r="D81" s="223" t="str">
        <f>IFERROR(VLOOKUP($A81,'SCH C'!$C$15:$E$58,3,FALSE),"")</f>
        <v/>
      </c>
      <c r="E81" s="238" t="str">
        <f>IFERROR(VLOOKUP($A81,'SCH C'!$C$15:$G$58,5,FALSE),"")</f>
        <v/>
      </c>
      <c r="F81" s="26" t="e">
        <f t="shared" si="6"/>
        <v>#VALUE!</v>
      </c>
    </row>
    <row r="82" spans="1:6" x14ac:dyDescent="0.25">
      <c r="A82" s="255" t="s">
        <v>405</v>
      </c>
      <c r="B82" s="256" t="s">
        <v>265</v>
      </c>
      <c r="C82" s="256" t="s">
        <v>197</v>
      </c>
      <c r="D82" s="223" t="str">
        <f>IFERROR(VLOOKUP($A82,'SCH C'!$C$15:$E$58,3,FALSE),"")</f>
        <v/>
      </c>
      <c r="E82" s="238" t="str">
        <f>IFERROR(VLOOKUP($A82,'SCH C'!$C$15:$G$58,5,FALSE),"")</f>
        <v/>
      </c>
      <c r="F82" s="26" t="e">
        <f t="shared" si="6"/>
        <v>#VALUE!</v>
      </c>
    </row>
    <row r="83" spans="1:6" x14ac:dyDescent="0.25">
      <c r="A83" s="257" t="s">
        <v>406</v>
      </c>
      <c r="B83" s="258" t="s">
        <v>261</v>
      </c>
      <c r="C83" s="258" t="s">
        <v>29</v>
      </c>
      <c r="D83" s="223" t="str">
        <f>IFERROR(VLOOKUP($A83,'SCH C'!$C$15:$E$58,3,FALSE),"")</f>
        <v/>
      </c>
      <c r="E83" s="238" t="str">
        <f>IFERROR(VLOOKUP($A83,'SCH C'!$C$15:$G$58,5,FALSE),"")</f>
        <v/>
      </c>
      <c r="F83" s="223"/>
    </row>
    <row r="84" spans="1:6" x14ac:dyDescent="0.25">
      <c r="A84" s="255" t="s">
        <v>407</v>
      </c>
      <c r="B84" s="256" t="s">
        <v>262</v>
      </c>
      <c r="C84" s="256" t="s">
        <v>29</v>
      </c>
      <c r="D84" s="223" t="str">
        <f>IFERROR(VLOOKUP($A84,'SCH C'!$C$15:$E$58,3,FALSE),"")</f>
        <v/>
      </c>
      <c r="E84" s="238" t="str">
        <f>IFERROR(VLOOKUP($A84,'SCH C'!$C$15:$G$58,5,FALSE),"")</f>
        <v/>
      </c>
      <c r="F84" s="223"/>
    </row>
    <row r="85" spans="1:6" x14ac:dyDescent="0.25">
      <c r="A85" s="257" t="s">
        <v>408</v>
      </c>
      <c r="B85" s="258" t="s">
        <v>263</v>
      </c>
      <c r="C85" s="258" t="s">
        <v>29</v>
      </c>
      <c r="D85" s="223" t="str">
        <f>IFERROR(VLOOKUP($A85,'SCH C'!$C$15:$E$58,3,FALSE),"")</f>
        <v/>
      </c>
      <c r="E85" s="238" t="str">
        <f>IFERROR(VLOOKUP($A85,'SCH C'!$C$15:$G$58,5,FALSE),"")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C'!$C$15:$E$58,3,FALSE),"")</f>
        <v/>
      </c>
      <c r="E86" s="238" t="str">
        <f>IFERROR(VLOOKUP($A86,'SCH C'!$C$15:$G$58,5,FALSE),"")</f>
        <v/>
      </c>
      <c r="F86" s="223"/>
    </row>
    <row r="87" spans="1:6" x14ac:dyDescent="0.25">
      <c r="A87" s="257" t="s">
        <v>410</v>
      </c>
      <c r="B87" s="258" t="s">
        <v>265</v>
      </c>
      <c r="C87" s="258" t="s">
        <v>29</v>
      </c>
      <c r="D87" s="223" t="str">
        <f>IFERROR(VLOOKUP($A87,'SCH C'!$C$15:$E$58,3,FALSE),"")</f>
        <v/>
      </c>
      <c r="E87" s="238" t="str">
        <f>IFERROR(VLOOKUP($A87,'SCH C'!$C$15:$G$58,5,FALSE),"")</f>
        <v/>
      </c>
      <c r="F87" s="223"/>
    </row>
    <row r="88" spans="1:6" x14ac:dyDescent="0.25">
      <c r="A88" s="255" t="s">
        <v>411</v>
      </c>
      <c r="B88" s="256" t="s">
        <v>261</v>
      </c>
      <c r="C88" s="256" t="s">
        <v>227</v>
      </c>
      <c r="D88" s="223" t="str">
        <f>IFERROR(VLOOKUP($A88,'SCH C'!$C$15:$E$58,3,FALSE),"")</f>
        <v/>
      </c>
      <c r="E88" s="238" t="str">
        <f>IFERROR(VLOOKUP($A88,'SCH C'!$C$15:$G$58,5,FALSE),"")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C'!$C$15:$E$58,3,FALSE),"")</f>
        <v/>
      </c>
      <c r="E89" s="238" t="str">
        <f>IFERROR(VLOOKUP($A89,'SCH C'!$C$15:$G$58,5,FALSE),"")</f>
        <v/>
      </c>
      <c r="F89" s="26" t="e">
        <f t="shared" si="7"/>
        <v>#VALUE!</v>
      </c>
    </row>
    <row r="90" spans="1:6" x14ac:dyDescent="0.25">
      <c r="A90" s="255" t="s">
        <v>413</v>
      </c>
      <c r="B90" s="256" t="s">
        <v>263</v>
      </c>
      <c r="C90" s="256" t="s">
        <v>227</v>
      </c>
      <c r="D90" s="223" t="str">
        <f>IFERROR(VLOOKUP($A90,'SCH C'!$C$15:$E$58,3,FALSE),"")</f>
        <v/>
      </c>
      <c r="E90" s="238" t="str">
        <f>IFERROR(VLOOKUP($A90,'SCH C'!$C$15:$G$58,5,FALSE),"")</f>
        <v/>
      </c>
      <c r="F90" s="26" t="e">
        <f t="shared" si="7"/>
        <v>#VALUE!</v>
      </c>
    </row>
    <row r="91" spans="1:6" x14ac:dyDescent="0.25">
      <c r="A91" s="257" t="s">
        <v>414</v>
      </c>
      <c r="B91" s="258" t="s">
        <v>264</v>
      </c>
      <c r="C91" s="258" t="s">
        <v>227</v>
      </c>
      <c r="D91" s="223" t="str">
        <f>IFERROR(VLOOKUP($A91,'SCH C'!$C$15:$E$58,3,FALSE),"")</f>
        <v/>
      </c>
      <c r="E91" s="238" t="str">
        <f>IFERROR(VLOOKUP($A91,'SCH C'!$C$15:$G$58,5,FALSE),"")</f>
        <v/>
      </c>
      <c r="F91" s="26" t="e">
        <f t="shared" si="7"/>
        <v>#VALUE!</v>
      </c>
    </row>
    <row r="92" spans="1:6" x14ac:dyDescent="0.25">
      <c r="A92" s="255" t="s">
        <v>415</v>
      </c>
      <c r="B92" s="256" t="s">
        <v>265</v>
      </c>
      <c r="C92" s="256" t="s">
        <v>227</v>
      </c>
      <c r="D92" s="223" t="str">
        <f>IFERROR(VLOOKUP($A92,'SCH C'!$C$15:$E$58,3,FALSE),"")</f>
        <v/>
      </c>
      <c r="E92" s="238" t="str">
        <f>IFERROR(VLOOKUP($A92,'SCH C'!$C$15:$G$58,5,FALSE),"")</f>
        <v/>
      </c>
      <c r="F92" s="26" t="e">
        <f t="shared" si="7"/>
        <v>#VALUE!</v>
      </c>
    </row>
    <row r="93" spans="1:6" x14ac:dyDescent="0.25">
      <c r="A93" s="266" t="s">
        <v>435</v>
      </c>
      <c r="B93" s="267" t="s">
        <v>261</v>
      </c>
      <c r="C93" s="267" t="s">
        <v>197</v>
      </c>
      <c r="D93" s="223" t="str">
        <f>IFERROR(VLOOKUP($A93,'SCH C'!$C$15:$E$58,3,FALSE),"")</f>
        <v/>
      </c>
      <c r="E93" s="238" t="str">
        <f>IFERROR(VLOOKUP($A93,'SCH C'!$C$15:$G$58,5,FALSE),"")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C'!$C$15:$E$58,3,FALSE),"")</f>
        <v/>
      </c>
      <c r="E94" s="238" t="str">
        <f>IFERROR(VLOOKUP($A94,'SCH C'!$C$15:$G$58,5,FALSE),"")</f>
        <v/>
      </c>
      <c r="F94" s="26" t="e">
        <f t="shared" si="8"/>
        <v>#VALUE!</v>
      </c>
    </row>
    <row r="95" spans="1:6" x14ac:dyDescent="0.25">
      <c r="A95" s="266" t="s">
        <v>437</v>
      </c>
      <c r="B95" s="267" t="s">
        <v>263</v>
      </c>
      <c r="C95" s="267" t="s">
        <v>197</v>
      </c>
      <c r="D95" s="223" t="str">
        <f>IFERROR(VLOOKUP($A95,'SCH C'!$C$15:$E$58,3,FALSE),"")</f>
        <v/>
      </c>
      <c r="E95" s="238" t="str">
        <f>IFERROR(VLOOKUP($A95,'SCH C'!$C$15:$G$58,5,FALSE),"")</f>
        <v/>
      </c>
      <c r="F95" s="26" t="e">
        <f t="shared" si="8"/>
        <v>#VALUE!</v>
      </c>
    </row>
    <row r="96" spans="1:6" x14ac:dyDescent="0.25">
      <c r="A96" s="268" t="s">
        <v>438</v>
      </c>
      <c r="B96" s="269" t="s">
        <v>264</v>
      </c>
      <c r="C96" s="269" t="s">
        <v>197</v>
      </c>
      <c r="D96" s="223" t="str">
        <f>IFERROR(VLOOKUP($A96,'SCH C'!$C$15:$E$58,3,FALSE),"")</f>
        <v/>
      </c>
      <c r="E96" s="238" t="str">
        <f>IFERROR(VLOOKUP($A96,'SCH C'!$C$15:$G$58,5,FALSE),"")</f>
        <v/>
      </c>
      <c r="F96" s="26" t="e">
        <f t="shared" si="8"/>
        <v>#VALUE!</v>
      </c>
    </row>
    <row r="97" spans="1:6" x14ac:dyDescent="0.25">
      <c r="A97" s="266" t="s">
        <v>439</v>
      </c>
      <c r="B97" s="267" t="s">
        <v>265</v>
      </c>
      <c r="C97" s="267" t="s">
        <v>197</v>
      </c>
      <c r="D97" s="223" t="str">
        <f>IFERROR(VLOOKUP($A97,'SCH C'!$C$15:$E$58,3,FALSE),"")</f>
        <v/>
      </c>
      <c r="E97" s="238" t="str">
        <f>IFERROR(VLOOKUP($A97,'SCH C'!$C$15:$G$58,5,FALSE),"")</f>
        <v/>
      </c>
      <c r="F97" s="26" t="e">
        <f t="shared" si="8"/>
        <v>#VALUE!</v>
      </c>
    </row>
    <row r="98" spans="1:6" x14ac:dyDescent="0.25">
      <c r="A98" s="268" t="s">
        <v>440</v>
      </c>
      <c r="B98" s="269" t="s">
        <v>261</v>
      </c>
      <c r="C98" s="269" t="s">
        <v>29</v>
      </c>
      <c r="D98" s="223" t="str">
        <f>IFERROR(VLOOKUP($A98,'SCH C'!$C$15:$E$58,3,FALSE),"")</f>
        <v/>
      </c>
      <c r="E98" s="238" t="str">
        <f>IFERROR(VLOOKUP($A98,'SCH C'!$C$15:$G$58,5,FALSE),"")</f>
        <v/>
      </c>
      <c r="F98" s="223"/>
    </row>
    <row r="99" spans="1:6" x14ac:dyDescent="0.25">
      <c r="A99" s="266" t="s">
        <v>441</v>
      </c>
      <c r="B99" s="267" t="s">
        <v>262</v>
      </c>
      <c r="C99" s="267" t="s">
        <v>29</v>
      </c>
      <c r="D99" s="223" t="str">
        <f>IFERROR(VLOOKUP($A99,'SCH C'!$C$15:$E$58,3,FALSE),"")</f>
        <v/>
      </c>
      <c r="E99" s="238" t="str">
        <f>IFERROR(VLOOKUP($A99,'SCH C'!$C$15:$G$58,5,FALSE),"")</f>
        <v/>
      </c>
      <c r="F99" s="223"/>
    </row>
    <row r="100" spans="1:6" x14ac:dyDescent="0.25">
      <c r="A100" s="268" t="s">
        <v>442</v>
      </c>
      <c r="B100" s="269" t="s">
        <v>263</v>
      </c>
      <c r="C100" s="269" t="s">
        <v>29</v>
      </c>
      <c r="D100" s="223" t="str">
        <f>IFERROR(VLOOKUP($A100,'SCH C'!$C$15:$E$58,3,FALSE),"")</f>
        <v/>
      </c>
      <c r="E100" s="238" t="str">
        <f>IFERROR(VLOOKUP($A100,'SCH C'!$C$15:$G$58,5,FALSE),"")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C'!$C$15:$E$58,3,FALSE),"")</f>
        <v/>
      </c>
      <c r="E101" s="238" t="str">
        <f>IFERROR(VLOOKUP($A101,'SCH C'!$C$15:$G$58,5,FALSE),"")</f>
        <v/>
      </c>
      <c r="F101" s="223"/>
    </row>
    <row r="102" spans="1:6" x14ac:dyDescent="0.25">
      <c r="A102" s="268" t="s">
        <v>444</v>
      </c>
      <c r="B102" s="269" t="s">
        <v>265</v>
      </c>
      <c r="C102" s="269" t="s">
        <v>29</v>
      </c>
      <c r="D102" s="223" t="str">
        <f>IFERROR(VLOOKUP($A102,'SCH C'!$C$15:$E$58,3,FALSE),"")</f>
        <v/>
      </c>
      <c r="E102" s="238" t="str">
        <f>IFERROR(VLOOKUP($A102,'SCH C'!$C$15:$G$58,5,FALSE),"")</f>
        <v/>
      </c>
      <c r="F102" s="223"/>
    </row>
    <row r="103" spans="1:6" x14ac:dyDescent="0.25">
      <c r="A103" s="266" t="s">
        <v>445</v>
      </c>
      <c r="B103" s="267" t="s">
        <v>261</v>
      </c>
      <c r="C103" s="267" t="s">
        <v>227</v>
      </c>
      <c r="D103" s="223" t="str">
        <f>IFERROR(VLOOKUP($A103,'SCH C'!$C$15:$E$58,3,FALSE),"")</f>
        <v/>
      </c>
      <c r="E103" s="238" t="str">
        <f>IFERROR(VLOOKUP($A103,'SCH C'!$C$15:$G$58,5,FALSE),"")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C'!$C$15:$E$58,3,FALSE),"")</f>
        <v/>
      </c>
      <c r="E104" s="238" t="str">
        <f>IFERROR(VLOOKUP($A104,'SCH C'!$C$15:$G$58,5,FALSE),"")</f>
        <v/>
      </c>
      <c r="F104" s="26" t="e">
        <f t="shared" si="9"/>
        <v>#VALUE!</v>
      </c>
    </row>
    <row r="105" spans="1:6" x14ac:dyDescent="0.25">
      <c r="A105" s="266" t="s">
        <v>447</v>
      </c>
      <c r="B105" s="267" t="s">
        <v>263</v>
      </c>
      <c r="C105" s="267" t="s">
        <v>227</v>
      </c>
      <c r="D105" s="223" t="str">
        <f>IFERROR(VLOOKUP($A105,'SCH C'!$C$15:$E$58,3,FALSE),"")</f>
        <v/>
      </c>
      <c r="E105" s="238" t="str">
        <f>IFERROR(VLOOKUP($A105,'SCH C'!$C$15:$G$58,5,FALSE),"")</f>
        <v/>
      </c>
      <c r="F105" s="26" t="e">
        <f t="shared" si="9"/>
        <v>#VALUE!</v>
      </c>
    </row>
    <row r="106" spans="1:6" x14ac:dyDescent="0.25">
      <c r="A106" s="268" t="s">
        <v>448</v>
      </c>
      <c r="B106" s="269" t="s">
        <v>264</v>
      </c>
      <c r="C106" s="269" t="s">
        <v>227</v>
      </c>
      <c r="D106" s="223" t="str">
        <f>IFERROR(VLOOKUP($A106,'SCH C'!$C$15:$E$58,3,FALSE),"")</f>
        <v/>
      </c>
      <c r="E106" s="238" t="str">
        <f>IFERROR(VLOOKUP($A106,'SCH C'!$C$15:$G$58,5,FALSE),"")</f>
        <v/>
      </c>
      <c r="F106" s="26" t="e">
        <f t="shared" si="9"/>
        <v>#VALUE!</v>
      </c>
    </row>
    <row r="107" spans="1:6" x14ac:dyDescent="0.25">
      <c r="A107" s="266" t="s">
        <v>449</v>
      </c>
      <c r="B107" s="267" t="s">
        <v>265</v>
      </c>
      <c r="C107" s="267" t="s">
        <v>227</v>
      </c>
      <c r="D107" s="223" t="str">
        <f>IFERROR(VLOOKUP($A107,'SCH C'!$C$15:$E$58,3,FALSE),"")</f>
        <v/>
      </c>
      <c r="E107" s="238" t="str">
        <f>IFERROR(VLOOKUP($A107,'SCH C'!$C$15:$G$58,5,FALSE),"")</f>
        <v/>
      </c>
      <c r="F107" s="26" t="e">
        <f t="shared" si="9"/>
        <v>#VALUE!</v>
      </c>
    </row>
    <row r="108" spans="1:6" x14ac:dyDescent="0.25">
      <c r="A108" s="204" t="s">
        <v>266</v>
      </c>
      <c r="B108" s="204" t="s">
        <v>416</v>
      </c>
      <c r="C108" s="204" t="s">
        <v>276</v>
      </c>
      <c r="D108" s="223" t="str">
        <f>IFERROR(VLOOKUP($A108,'SCH C'!$C$15:$E$58,3,FALSE),"")</f>
        <v/>
      </c>
      <c r="E108" s="238" t="str">
        <f>IFERROR(VLOOKUP($A108,'SCH C'!$C$15:$G$58,5,FALSE),"")</f>
        <v/>
      </c>
      <c r="F108" s="223"/>
    </row>
    <row r="109" spans="1:6" x14ac:dyDescent="0.25">
      <c r="A109" s="205" t="s">
        <v>267</v>
      </c>
      <c r="B109" s="205" t="s">
        <v>277</v>
      </c>
      <c r="C109" s="205" t="s">
        <v>276</v>
      </c>
      <c r="D109" s="223" t="str">
        <f>IFERROR(VLOOKUP($A109,'SCH C'!$C$15:$E$58,3,FALSE),"")</f>
        <v/>
      </c>
      <c r="E109" s="238" t="str">
        <f>IFERROR(VLOOKUP($A109,'SCH C'!$C$15:$G$58,5,FALSE),"")</f>
        <v/>
      </c>
      <c r="F109" s="223"/>
    </row>
    <row r="110" spans="1:6" x14ac:dyDescent="0.25">
      <c r="A110" s="204" t="s">
        <v>268</v>
      </c>
      <c r="B110" s="204" t="s">
        <v>417</v>
      </c>
      <c r="C110" s="204" t="s">
        <v>276</v>
      </c>
      <c r="D110" s="223" t="str">
        <f>IFERROR(VLOOKUP($A110,'SCH C'!$C$15:$E$58,3,FALSE),"")</f>
        <v/>
      </c>
      <c r="E110" s="238" t="str">
        <f>IFERROR(VLOOKUP($A110,'SCH C'!$C$15:$G$58,5,FALSE),"")</f>
        <v/>
      </c>
      <c r="F110" s="223"/>
    </row>
    <row r="111" spans="1:6" x14ac:dyDescent="0.25">
      <c r="A111" s="205" t="s">
        <v>269</v>
      </c>
      <c r="B111" s="205" t="s">
        <v>278</v>
      </c>
      <c r="C111" s="205" t="s">
        <v>276</v>
      </c>
      <c r="D111" s="223" t="str">
        <f>IFERROR(VLOOKUP($A111,'SCH C'!$C$15:$E$58,3,FALSE),"")</f>
        <v/>
      </c>
      <c r="E111" s="238" t="str">
        <f>IFERROR(VLOOKUP($A111,'SCH C'!$C$15:$G$58,5,FALSE),"")</f>
        <v/>
      </c>
      <c r="F111" s="223"/>
    </row>
    <row r="112" spans="1:6" x14ac:dyDescent="0.25">
      <c r="A112" s="204" t="s">
        <v>270</v>
      </c>
      <c r="B112" s="204" t="s">
        <v>416</v>
      </c>
      <c r="C112" s="204" t="s">
        <v>29</v>
      </c>
      <c r="D112" s="223" t="str">
        <f>IFERROR(VLOOKUP($A112,'SCH C'!$C$15:$E$58,3,FALSE),"")</f>
        <v/>
      </c>
      <c r="E112" s="238" t="str">
        <f>IFERROR(VLOOKUP($A112,'SCH C'!$C$15:$G$58,5,FALSE),"")</f>
        <v/>
      </c>
      <c r="F112" s="223"/>
    </row>
    <row r="113" spans="1:6" x14ac:dyDescent="0.25">
      <c r="A113" s="205" t="s">
        <v>271</v>
      </c>
      <c r="B113" s="212" t="s">
        <v>277</v>
      </c>
      <c r="C113" s="205" t="s">
        <v>29</v>
      </c>
      <c r="D113" s="223" t="str">
        <f>IFERROR(VLOOKUP($A113,'SCH C'!$C$15:$E$58,3,FALSE),"")</f>
        <v/>
      </c>
      <c r="E113" s="238" t="str">
        <f>IFERROR(VLOOKUP($A113,'SCH C'!$C$15:$G$58,5,FALSE),"")</f>
        <v/>
      </c>
      <c r="F113" s="223"/>
    </row>
    <row r="114" spans="1:6" x14ac:dyDescent="0.25">
      <c r="A114" s="204" t="s">
        <v>272</v>
      </c>
      <c r="B114" s="213" t="s">
        <v>417</v>
      </c>
      <c r="C114" s="204" t="s">
        <v>29</v>
      </c>
      <c r="D114" s="223" t="str">
        <f>IFERROR(VLOOKUP($A114,'SCH C'!$C$15:$E$58,3,FALSE),"")</f>
        <v/>
      </c>
      <c r="E114" s="238" t="str">
        <f>IFERROR(VLOOKUP($A114,'SCH C'!$C$15:$G$58,5,FALSE),"")</f>
        <v/>
      </c>
      <c r="F114" s="223"/>
    </row>
    <row r="115" spans="1:6" ht="26.25" x14ac:dyDescent="0.25">
      <c r="A115" s="205" t="s">
        <v>273</v>
      </c>
      <c r="B115" s="212" t="s">
        <v>278</v>
      </c>
      <c r="C115" s="205" t="s">
        <v>29</v>
      </c>
      <c r="D115" s="223" t="str">
        <f>IFERROR(VLOOKUP($A115,'SCH C'!$C$15:$E$58,3,FALSE),"")</f>
        <v/>
      </c>
      <c r="E115" s="238" t="str">
        <f>IFERROR(VLOOKUP($A115,'SCH C'!$C$15:$G$58,5,FALSE),"")</f>
        <v/>
      </c>
      <c r="F115" s="223"/>
    </row>
    <row r="116" spans="1:6" x14ac:dyDescent="0.25">
      <c r="A116" s="204" t="s">
        <v>274</v>
      </c>
      <c r="B116" s="204" t="s">
        <v>416</v>
      </c>
      <c r="C116" s="204" t="s">
        <v>197</v>
      </c>
      <c r="D116" s="223" t="str">
        <f>IFERROR(VLOOKUP($A116,'SCH C'!$C$15:$E$58,3,FALSE),"")</f>
        <v/>
      </c>
      <c r="E116" s="238" t="str">
        <f>IFERROR(VLOOKUP($A116,'SCH C'!$C$15:$G$58,5,FALSE),"")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C'!$C$15:$E$58,3,FALSE),"")</f>
        <v/>
      </c>
      <c r="E117" s="238" t="str">
        <f>IFERROR(VLOOKUP($A117,'SCH C'!$C$15:$G$58,5,FALSE),"")</f>
        <v/>
      </c>
      <c r="F117" s="26" t="e">
        <f t="shared" si="10"/>
        <v>#VALUE!</v>
      </c>
    </row>
    <row r="118" spans="1:6" x14ac:dyDescent="0.25">
      <c r="A118" s="204" t="s">
        <v>279</v>
      </c>
      <c r="B118" s="204" t="s">
        <v>280</v>
      </c>
      <c r="C118" s="206" t="s">
        <v>197</v>
      </c>
      <c r="D118" s="223" t="str">
        <f>IFERROR(VLOOKUP($A118,'SCH C'!$C$15:$E$58,3,FALSE),"")</f>
        <v/>
      </c>
      <c r="E118" s="238" t="str">
        <f>IFERROR(VLOOKUP($A118,'SCH C'!$C$15:$G$58,5,FALSE),"")</f>
        <v/>
      </c>
      <c r="F118" s="223"/>
    </row>
    <row r="119" spans="1:6" x14ac:dyDescent="0.25">
      <c r="A119" s="205" t="s">
        <v>281</v>
      </c>
      <c r="B119" s="205" t="s">
        <v>249</v>
      </c>
      <c r="C119" s="205" t="s">
        <v>197</v>
      </c>
      <c r="D119" s="223" t="str">
        <f>IFERROR(VLOOKUP($A119,'SCH C'!$C$15:$E$58,3,FALSE),"")</f>
        <v/>
      </c>
      <c r="E119" s="238" t="str">
        <f>IFERROR(VLOOKUP($A119,'SCH C'!$C$15:$G$58,5,FALSE),"")</f>
        <v/>
      </c>
      <c r="F119" s="26" t="e">
        <f>IF((D119&gt;=1575),ROUND(E119*0.01,2),"-")</f>
        <v>#VALUE!</v>
      </c>
    </row>
    <row r="120" spans="1:6" x14ac:dyDescent="0.25">
      <c r="A120" s="204" t="s">
        <v>282</v>
      </c>
      <c r="B120" s="204" t="s">
        <v>250</v>
      </c>
      <c r="C120" s="204" t="s">
        <v>197</v>
      </c>
      <c r="D120" s="223" t="str">
        <f>IFERROR(VLOOKUP($A120,'SCH C'!$C$15:$E$58,3,FALSE),"")</f>
        <v/>
      </c>
      <c r="E120" s="238" t="str">
        <f>IFERROR(VLOOKUP($A120,'SCH C'!$C$15:$G$58,5,FALSE),"")</f>
        <v/>
      </c>
      <c r="F120" s="26" t="e">
        <f>IF((D120&gt;=1050),ROUND(E120*0.01,2),"-")</f>
        <v>#VALUE!</v>
      </c>
    </row>
    <row r="121" spans="1:6" x14ac:dyDescent="0.25">
      <c r="A121" s="205" t="s">
        <v>283</v>
      </c>
      <c r="B121" s="205" t="s">
        <v>251</v>
      </c>
      <c r="C121" s="205" t="s">
        <v>197</v>
      </c>
      <c r="D121" s="223" t="str">
        <f>IFERROR(VLOOKUP($A121,'SCH C'!$C$15:$E$58,3,FALSE),"")</f>
        <v/>
      </c>
      <c r="E121" s="238" t="str">
        <f>IFERROR(VLOOKUP($A121,'SCH C'!$C$15:$G$58,5,FALSE),"")</f>
        <v/>
      </c>
      <c r="F121" s="26" t="e">
        <f>IF((D121&gt;=787.5),ROUND(E121*0.01,2),"-")</f>
        <v>#VALUE!</v>
      </c>
    </row>
    <row r="122" spans="1:6" x14ac:dyDescent="0.25">
      <c r="A122" s="204" t="s">
        <v>284</v>
      </c>
      <c r="B122" s="204" t="s">
        <v>252</v>
      </c>
      <c r="C122" s="204" t="s">
        <v>197</v>
      </c>
      <c r="D122" s="223" t="str">
        <f>IFERROR(VLOOKUP($A122,'SCH C'!$C$15:$E$58,3,FALSE),"")</f>
        <v/>
      </c>
      <c r="E122" s="238" t="str">
        <f>IFERROR(VLOOKUP($A122,'SCH C'!$C$15:$G$58,5,FALSE),"")</f>
        <v/>
      </c>
      <c r="F122" s="26" t="e">
        <f>IF((D122&gt;=393.75),ROUND(E122*0.01,2),"-")</f>
        <v>#VALUE!</v>
      </c>
    </row>
    <row r="123" spans="1:6" x14ac:dyDescent="0.25">
      <c r="A123" s="205" t="s">
        <v>285</v>
      </c>
      <c r="B123" s="205" t="s">
        <v>291</v>
      </c>
      <c r="C123" s="205" t="s">
        <v>197</v>
      </c>
      <c r="D123" s="223" t="str">
        <f>IFERROR(VLOOKUP($A123,'SCH C'!$C$15:$E$58,3,FALSE),"")</f>
        <v/>
      </c>
      <c r="E123" s="238" t="str">
        <f>IFERROR(VLOOKUP($A123,'SCH C'!$C$15:$G$58,5,FALSE),"")</f>
        <v/>
      </c>
      <c r="F123" s="26" t="e">
        <f>IF((D123&gt;=(1575*2)),ROUND(E123*0.01,2),"-")</f>
        <v>#VALUE!</v>
      </c>
    </row>
    <row r="124" spans="1:6" x14ac:dyDescent="0.25">
      <c r="A124" s="204" t="s">
        <v>286</v>
      </c>
      <c r="B124" s="204" t="s">
        <v>292</v>
      </c>
      <c r="C124" s="204" t="s">
        <v>197</v>
      </c>
      <c r="D124" s="223" t="str">
        <f>IFERROR(VLOOKUP($A124,'SCH C'!$C$15:$E$58,3,FALSE),"")</f>
        <v/>
      </c>
      <c r="E124" s="238" t="str">
        <f>IFERROR(VLOOKUP($A124,'SCH C'!$C$15:$G$58,5,FALSE),"")</f>
        <v/>
      </c>
      <c r="F124" s="26" t="e">
        <f>IF((D124&gt;=(787.5*2)),ROUND(E124*0.01,2),"-")</f>
        <v>#VALUE!</v>
      </c>
    </row>
    <row r="125" spans="1:6" x14ac:dyDescent="0.25">
      <c r="A125" s="205" t="s">
        <v>287</v>
      </c>
      <c r="B125" s="205" t="s">
        <v>293</v>
      </c>
      <c r="C125" s="205" t="s">
        <v>197</v>
      </c>
      <c r="D125" s="223" t="str">
        <f>IFERROR(VLOOKUP($A125,'SCH C'!$C$15:$E$58,3,FALSE),"")</f>
        <v/>
      </c>
      <c r="E125" s="238" t="str">
        <f>IFERROR(VLOOKUP($A125,'SCH C'!$C$15:$G$58,5,FALSE),"")</f>
        <v/>
      </c>
      <c r="F125" s="26" t="e">
        <f>IF((D125&gt;=(1050*2)),ROUND(E125*0.01,2),"-")</f>
        <v>#VALUE!</v>
      </c>
    </row>
    <row r="126" spans="1:6" x14ac:dyDescent="0.25">
      <c r="A126" s="204" t="s">
        <v>288</v>
      </c>
      <c r="B126" s="204" t="s">
        <v>294</v>
      </c>
      <c r="C126" s="204" t="s">
        <v>197</v>
      </c>
      <c r="D126" s="223" t="str">
        <f>IFERROR(VLOOKUP($A126,'SCH C'!$C$15:$E$58,3,FALSE),"")</f>
        <v/>
      </c>
      <c r="E126" s="238" t="str">
        <f>IFERROR(VLOOKUP($A126,'SCH C'!$C$15:$G$58,5,FALSE),"")</f>
        <v/>
      </c>
      <c r="F126" s="26" t="e">
        <f>IF((D126&gt;=(787.5*2)),ROUND(E126*0.01,2),"-")</f>
        <v>#VALUE!</v>
      </c>
    </row>
    <row r="127" spans="1:6" x14ac:dyDescent="0.25">
      <c r="A127" s="205" t="s">
        <v>289</v>
      </c>
      <c r="B127" s="205" t="s">
        <v>295</v>
      </c>
      <c r="C127" s="205" t="s">
        <v>197</v>
      </c>
      <c r="D127" s="223" t="str">
        <f>IFERROR(VLOOKUP($A127,'SCH C'!$C$15:$E$58,3,FALSE),"")</f>
        <v/>
      </c>
      <c r="E127" s="238" t="str">
        <f>IFERROR(VLOOKUP($A127,'SCH C'!$C$15:$G$58,5,FALSE),"")</f>
        <v/>
      </c>
      <c r="F127" s="26" t="e">
        <f>IF((D127&gt;=(787.5*2)),ROUND(E127*0.01,2),"-")</f>
        <v>#VALUE!</v>
      </c>
    </row>
    <row r="128" spans="1:6" x14ac:dyDescent="0.25">
      <c r="A128" s="204" t="s">
        <v>290</v>
      </c>
      <c r="B128" s="204" t="s">
        <v>296</v>
      </c>
      <c r="C128" s="204" t="s">
        <v>197</v>
      </c>
      <c r="D128" s="223" t="str">
        <f>IFERROR(VLOOKUP($A128,'SCH C'!$C$15:$E$58,3,FALSE),"")</f>
        <v/>
      </c>
      <c r="E128" s="238" t="str">
        <f>IFERROR(VLOOKUP($A128,'SCH C'!$C$15:$G$58,5,FALSE),"")</f>
        <v/>
      </c>
      <c r="F128" s="26" t="e">
        <f>IF((D128&gt;=(393.75*2)),ROUND(E128*0.01,2),"-")</f>
        <v>#VALUE!</v>
      </c>
    </row>
    <row r="129" spans="1:16" x14ac:dyDescent="0.25">
      <c r="A129" s="205" t="s">
        <v>242</v>
      </c>
      <c r="B129" s="205" t="s">
        <v>249</v>
      </c>
      <c r="C129" s="205" t="s">
        <v>29</v>
      </c>
      <c r="D129" s="223" t="str">
        <f>IFERROR(VLOOKUP($A129,'SCH C'!$C$15:$E$58,3,FALSE),"")</f>
        <v/>
      </c>
      <c r="E129" s="238" t="str">
        <f>IFERROR(VLOOKUP($A129,'SCH C'!$C$15:$G$58,5,FALSE),"")</f>
        <v/>
      </c>
      <c r="F129" s="26" t="e">
        <f>IF((D129&gt;=40000),ROUND(E129*0.05,2),"-")</f>
        <v>#VALUE!</v>
      </c>
    </row>
    <row r="130" spans="1:16" x14ac:dyDescent="0.25">
      <c r="A130" s="204" t="s">
        <v>243</v>
      </c>
      <c r="B130" s="204" t="s">
        <v>250</v>
      </c>
      <c r="C130" s="204" t="s">
        <v>29</v>
      </c>
      <c r="D130" s="223" t="str">
        <f>IFERROR(VLOOKUP($A130,'SCH C'!$C$15:$E$58,3,FALSE),"")</f>
        <v/>
      </c>
      <c r="E130" s="238" t="str">
        <f>IFERROR(VLOOKUP($A130,'SCH C'!$C$15:$G$58,5,FALSE),"")</f>
        <v/>
      </c>
      <c r="F130" s="26" t="e">
        <f t="shared" ref="F130:F135" si="11">IF((D130&gt;=40000),ROUND(E130*0.05,2),"-")</f>
        <v>#VALUE!</v>
      </c>
    </row>
    <row r="131" spans="1:16" x14ac:dyDescent="0.25">
      <c r="A131" s="205" t="s">
        <v>244</v>
      </c>
      <c r="B131" s="205" t="s">
        <v>251</v>
      </c>
      <c r="C131" s="205" t="s">
        <v>29</v>
      </c>
      <c r="D131" s="223" t="str">
        <f>IFERROR(VLOOKUP($A131,'SCH C'!$C$15:$E$58,3,FALSE),"")</f>
        <v/>
      </c>
      <c r="E131" s="238" t="str">
        <f>IFERROR(VLOOKUP($A131,'SCH C'!$C$15:$G$58,5,FALSE),"")</f>
        <v/>
      </c>
      <c r="F131" s="26" t="e">
        <f t="shared" si="11"/>
        <v>#VALUE!</v>
      </c>
    </row>
    <row r="132" spans="1:16" x14ac:dyDescent="0.25">
      <c r="A132" s="204" t="s">
        <v>245</v>
      </c>
      <c r="B132" s="204" t="s">
        <v>252</v>
      </c>
      <c r="C132" s="204" t="s">
        <v>29</v>
      </c>
      <c r="D132" s="223" t="str">
        <f>IFERROR(VLOOKUP($A132,'SCH C'!$C$15:$E$58,3,FALSE),"")</f>
        <v/>
      </c>
      <c r="E132" s="238" t="str">
        <f>IFERROR(VLOOKUP($A132,'SCH C'!$C$15:$G$58,5,FALSE),"")</f>
        <v/>
      </c>
      <c r="F132" s="26" t="e">
        <f t="shared" si="11"/>
        <v>#VALUE!</v>
      </c>
    </row>
    <row r="133" spans="1:16" x14ac:dyDescent="0.25">
      <c r="A133" s="205" t="s">
        <v>246</v>
      </c>
      <c r="B133" s="205" t="s">
        <v>253</v>
      </c>
      <c r="C133" s="205" t="s">
        <v>29</v>
      </c>
      <c r="D133" s="223" t="str">
        <f>IFERROR(VLOOKUP($A133,'SCH C'!$C$15:$E$58,3,FALSE),"")</f>
        <v/>
      </c>
      <c r="E133" s="238" t="str">
        <f>IFERROR(VLOOKUP($A133,'SCH C'!$C$15:$G$58,5,FALSE),"")</f>
        <v/>
      </c>
      <c r="F133" s="26" t="e">
        <f t="shared" si="11"/>
        <v>#VALUE!</v>
      </c>
    </row>
    <row r="134" spans="1:16" x14ac:dyDescent="0.25">
      <c r="A134" s="204" t="s">
        <v>247</v>
      </c>
      <c r="B134" s="204" t="s">
        <v>254</v>
      </c>
      <c r="C134" s="204" t="s">
        <v>29</v>
      </c>
      <c r="D134" s="223" t="str">
        <f>IFERROR(VLOOKUP($A134,'SCH C'!$C$15:$E$58,3,FALSE),"")</f>
        <v/>
      </c>
      <c r="E134" s="238" t="str">
        <f>IFERROR(VLOOKUP($A134,'SCH C'!$C$15:$G$58,5,FALSE),"")</f>
        <v/>
      </c>
      <c r="F134" s="26" t="e">
        <f t="shared" si="11"/>
        <v>#VALUE!</v>
      </c>
    </row>
    <row r="135" spans="1:16" x14ac:dyDescent="0.25">
      <c r="A135" s="205" t="s">
        <v>248</v>
      </c>
      <c r="B135" s="205" t="s">
        <v>255</v>
      </c>
      <c r="C135" s="205" t="s">
        <v>29</v>
      </c>
      <c r="D135" s="223" t="str">
        <f>IFERROR(VLOOKUP($A135,'SCH C'!$C$15:$E$58,3,FALSE),"")</f>
        <v/>
      </c>
      <c r="E135" s="238" t="str">
        <f>IFERROR(VLOOKUP($A135,'SCH C'!$C$15:$G$58,5,FALSE),"")</f>
        <v/>
      </c>
      <c r="F135" s="26" t="e">
        <f t="shared" si="11"/>
        <v>#VALUE!</v>
      </c>
    </row>
    <row r="136" spans="1:16" x14ac:dyDescent="0.25">
      <c r="A136" s="251" t="s">
        <v>418</v>
      </c>
      <c r="B136" s="252" t="s">
        <v>424</v>
      </c>
      <c r="C136" s="252" t="s">
        <v>197</v>
      </c>
      <c r="D136" s="223" t="str">
        <f>IFERROR(VLOOKUP($A136,'SCH C'!$C$15:$E$58,3,FALSE),"")</f>
        <v/>
      </c>
      <c r="E136" s="238" t="str">
        <f>IFERROR(VLOOKUP($A136,'SCH C'!$C$15:$G$58,5,FALSE),"")</f>
        <v/>
      </c>
      <c r="F136" s="26" t="str">
        <f>IF(ISNUMBER(D136),ROUND(E136*0.01,2),"-")</f>
        <v>-</v>
      </c>
    </row>
    <row r="137" spans="1:16" x14ac:dyDescent="0.25">
      <c r="A137" s="253" t="s">
        <v>419</v>
      </c>
      <c r="B137" s="254" t="s">
        <v>425</v>
      </c>
      <c r="C137" s="254" t="s">
        <v>197</v>
      </c>
      <c r="D137" s="223" t="str">
        <f>IFERROR(VLOOKUP($A137,'SCH C'!$C$15:$E$58,3,FALSE),"")</f>
        <v/>
      </c>
      <c r="E137" s="238" t="str">
        <f>IFERROR(VLOOKUP($A137,'SCH C'!$C$15:$G$58,5,FALSE),"")</f>
        <v/>
      </c>
      <c r="F137" s="26" t="str">
        <f t="shared" ref="F137:F138" si="12">IF(ISNUMBER(D137),ROUND(E137*0.01,2),"-")</f>
        <v>-</v>
      </c>
    </row>
    <row r="138" spans="1:16" x14ac:dyDescent="0.25">
      <c r="A138" s="251" t="s">
        <v>420</v>
      </c>
      <c r="B138" s="252" t="s">
        <v>426</v>
      </c>
      <c r="C138" s="252" t="s">
        <v>197</v>
      </c>
      <c r="D138" s="223" t="str">
        <f>IFERROR(VLOOKUP($A138,'SCH C'!$C$15:$E$58,3,FALSE),"")</f>
        <v/>
      </c>
      <c r="E138" s="238" t="str">
        <f>IFERROR(VLOOKUP($A138,'SCH C'!$C$15:$G$58,5,FALSE),"")</f>
        <v/>
      </c>
      <c r="F138" s="26" t="str">
        <f t="shared" si="12"/>
        <v>-</v>
      </c>
    </row>
    <row r="139" spans="1:16" x14ac:dyDescent="0.25">
      <c r="A139" s="253" t="s">
        <v>421</v>
      </c>
      <c r="B139" s="254" t="s">
        <v>424</v>
      </c>
      <c r="C139" s="254" t="s">
        <v>29</v>
      </c>
      <c r="D139" s="223" t="str">
        <f>IFERROR(VLOOKUP($A139,'SCH C'!$C$15:$E$58,3,FALSE),"")</f>
        <v/>
      </c>
      <c r="E139" s="238" t="str">
        <f>IFERROR(VLOOKUP($A139,'SCH C'!$C$15:$G$58,5,FALSE),"")</f>
        <v/>
      </c>
      <c r="F139" s="284">
        <v>0.08</v>
      </c>
    </row>
    <row r="140" spans="1:16" x14ac:dyDescent="0.25">
      <c r="A140" s="251" t="s">
        <v>422</v>
      </c>
      <c r="B140" s="252" t="s">
        <v>425</v>
      </c>
      <c r="C140" s="252" t="s">
        <v>29</v>
      </c>
      <c r="D140" s="223" t="str">
        <f>IFERROR(VLOOKUP($A140,'SCH C'!$C$15:$E$58,3,FALSE),"")</f>
        <v/>
      </c>
      <c r="E140" s="238" t="str">
        <f>IFERROR(VLOOKUP($A140,'SCH C'!$C$15:$G$58,5,FALSE),"")</f>
        <v/>
      </c>
      <c r="F140" s="284">
        <v>0.05</v>
      </c>
    </row>
    <row r="141" spans="1:16" x14ac:dyDescent="0.25">
      <c r="A141" s="253" t="s">
        <v>423</v>
      </c>
      <c r="B141" s="254" t="s">
        <v>426</v>
      </c>
      <c r="C141" s="254" t="s">
        <v>29</v>
      </c>
      <c r="D141" s="223" t="str">
        <f>IFERROR(VLOOKUP($A141,'SCH C'!$C$15:$E$58,3,FALSE),"")</f>
        <v/>
      </c>
      <c r="E141" s="238" t="str">
        <f>IFERROR(VLOOKUP($A141,'SCH C'!$C$15:$G$58,5,FALSE),"")</f>
        <v/>
      </c>
      <c r="F141" s="284">
        <v>0.05</v>
      </c>
    </row>
    <row r="142" spans="1:16" x14ac:dyDescent="0.25">
      <c r="A142" s="251" t="s">
        <v>450</v>
      </c>
      <c r="B142" s="252" t="s">
        <v>424</v>
      </c>
      <c r="C142" s="252" t="s">
        <v>197</v>
      </c>
      <c r="D142" s="223" t="str">
        <f>IFERROR(VLOOKUP($A142,'SCH C'!$C$15:$E$58,3,FALSE),"")</f>
        <v/>
      </c>
      <c r="E142" s="238" t="str">
        <f>IFERROR(VLOOKUP($A142,'SCH C'!$C$15:$G$58,5,FALSE),"")</f>
        <v/>
      </c>
      <c r="F142" s="26" t="str">
        <f>IF(ISNUMBER(D142),ROUND(E142*0.01,2),"-")</f>
        <v>-</v>
      </c>
      <c r="P142" t="s">
        <v>454</v>
      </c>
    </row>
    <row r="143" spans="1:16" x14ac:dyDescent="0.25">
      <c r="A143" s="253" t="s">
        <v>451</v>
      </c>
      <c r="B143" s="254" t="s">
        <v>424</v>
      </c>
      <c r="C143" s="254" t="s">
        <v>29</v>
      </c>
      <c r="D143" s="223" t="str">
        <f>IFERROR(VLOOKUP($A143,'SCH C'!$C$15:$E$58,3,FALSE),"")</f>
        <v/>
      </c>
      <c r="E143" s="238" t="str">
        <f>IFERROR(VLOOKUP($A143,'SCH C'!$C$15:$G$58,5,FALSE),"")</f>
        <v/>
      </c>
      <c r="F143" s="284">
        <v>0.08</v>
      </c>
      <c r="P143" t="s">
        <v>455</v>
      </c>
    </row>
    <row r="144" spans="1:16" hidden="1" x14ac:dyDescent="0.25">
      <c r="A144" s="215" t="s">
        <v>297</v>
      </c>
      <c r="B144" s="216" t="s">
        <v>318</v>
      </c>
      <c r="C144" s="217" t="s">
        <v>197</v>
      </c>
    </row>
    <row r="145" spans="1:3" hidden="1" x14ac:dyDescent="0.25">
      <c r="A145" s="205" t="s">
        <v>298</v>
      </c>
      <c r="B145" s="205" t="s">
        <v>319</v>
      </c>
      <c r="C145" s="207" t="s">
        <v>197</v>
      </c>
    </row>
    <row r="146" spans="1:3" hidden="1" x14ac:dyDescent="0.25">
      <c r="A146" s="204" t="s">
        <v>299</v>
      </c>
      <c r="B146" s="204" t="s">
        <v>320</v>
      </c>
      <c r="C146" s="206" t="s">
        <v>197</v>
      </c>
    </row>
    <row r="147" spans="1:3" hidden="1" x14ac:dyDescent="0.25">
      <c r="A147" s="205" t="s">
        <v>300</v>
      </c>
      <c r="B147" s="205" t="s">
        <v>321</v>
      </c>
      <c r="C147" s="207" t="s">
        <v>197</v>
      </c>
    </row>
    <row r="148" spans="1:3" hidden="1" x14ac:dyDescent="0.25">
      <c r="A148" s="204" t="s">
        <v>301</v>
      </c>
      <c r="B148" s="204" t="s">
        <v>322</v>
      </c>
      <c r="C148" s="206" t="s">
        <v>197</v>
      </c>
    </row>
    <row r="149" spans="1:3" hidden="1" x14ac:dyDescent="0.25">
      <c r="A149" s="205" t="s">
        <v>302</v>
      </c>
      <c r="B149" s="205" t="s">
        <v>323</v>
      </c>
      <c r="C149" s="207" t="s">
        <v>197</v>
      </c>
    </row>
    <row r="150" spans="1:3" hidden="1" x14ac:dyDescent="0.25">
      <c r="A150" s="204" t="s">
        <v>303</v>
      </c>
      <c r="B150" s="204" t="s">
        <v>324</v>
      </c>
      <c r="C150" s="206" t="s">
        <v>197</v>
      </c>
    </row>
    <row r="151" spans="1:3" hidden="1" x14ac:dyDescent="0.25">
      <c r="A151" s="205" t="s">
        <v>304</v>
      </c>
      <c r="B151" s="205" t="s">
        <v>325</v>
      </c>
      <c r="C151" s="207" t="s">
        <v>197</v>
      </c>
    </row>
    <row r="152" spans="1:3" hidden="1" x14ac:dyDescent="0.25">
      <c r="A152" s="204" t="s">
        <v>305</v>
      </c>
      <c r="B152" s="204" t="s">
        <v>326</v>
      </c>
      <c r="C152" s="206" t="s">
        <v>197</v>
      </c>
    </row>
    <row r="153" spans="1:3" hidden="1" x14ac:dyDescent="0.25">
      <c r="A153" s="205" t="s">
        <v>306</v>
      </c>
      <c r="B153" s="205" t="s">
        <v>327</v>
      </c>
      <c r="C153" s="207" t="s">
        <v>197</v>
      </c>
    </row>
    <row r="154" spans="1:3" hidden="1" x14ac:dyDescent="0.25">
      <c r="A154" s="204" t="s">
        <v>307</v>
      </c>
      <c r="B154" s="204" t="s">
        <v>328</v>
      </c>
      <c r="C154" s="206" t="s">
        <v>197</v>
      </c>
    </row>
    <row r="155" spans="1:3" hidden="1" x14ac:dyDescent="0.25">
      <c r="A155" s="205" t="s">
        <v>308</v>
      </c>
      <c r="B155" s="205" t="s">
        <v>329</v>
      </c>
      <c r="C155" s="207" t="s">
        <v>197</v>
      </c>
    </row>
    <row r="156" spans="1:3" hidden="1" x14ac:dyDescent="0.25">
      <c r="A156" s="204" t="s">
        <v>309</v>
      </c>
      <c r="B156" s="204" t="s">
        <v>330</v>
      </c>
      <c r="C156" s="206" t="s">
        <v>197</v>
      </c>
    </row>
    <row r="157" spans="1:3" hidden="1" x14ac:dyDescent="0.25">
      <c r="A157" s="205" t="s">
        <v>310</v>
      </c>
      <c r="B157" s="205" t="s">
        <v>331</v>
      </c>
      <c r="C157" s="207" t="s">
        <v>197</v>
      </c>
    </row>
    <row r="158" spans="1:3" hidden="1" x14ac:dyDescent="0.25">
      <c r="A158" s="204" t="s">
        <v>311</v>
      </c>
      <c r="B158" s="204" t="s">
        <v>332</v>
      </c>
      <c r="C158" s="206" t="s">
        <v>197</v>
      </c>
    </row>
    <row r="159" spans="1:3" hidden="1" x14ac:dyDescent="0.25">
      <c r="A159" s="205" t="s">
        <v>312</v>
      </c>
      <c r="B159" s="205" t="s">
        <v>333</v>
      </c>
      <c r="C159" s="207" t="s">
        <v>197</v>
      </c>
    </row>
    <row r="160" spans="1:3" hidden="1" x14ac:dyDescent="0.25">
      <c r="A160" s="204" t="s">
        <v>313</v>
      </c>
      <c r="B160" s="204" t="s">
        <v>334</v>
      </c>
      <c r="C160" s="206" t="s">
        <v>197</v>
      </c>
    </row>
    <row r="161" spans="1:3" hidden="1" x14ac:dyDescent="0.25">
      <c r="A161" s="205" t="s">
        <v>314</v>
      </c>
      <c r="B161" s="205" t="s">
        <v>335</v>
      </c>
      <c r="C161" s="207" t="s">
        <v>197</v>
      </c>
    </row>
    <row r="162" spans="1:3" hidden="1" x14ac:dyDescent="0.25">
      <c r="A162" s="204" t="s">
        <v>315</v>
      </c>
      <c r="B162" s="204" t="s">
        <v>336</v>
      </c>
      <c r="C162" s="206" t="s">
        <v>197</v>
      </c>
    </row>
    <row r="163" spans="1:3" hidden="1" x14ac:dyDescent="0.25">
      <c r="A163" s="205" t="s">
        <v>316</v>
      </c>
      <c r="B163" s="205" t="s">
        <v>337</v>
      </c>
      <c r="C163" s="207" t="s">
        <v>197</v>
      </c>
    </row>
    <row r="164" spans="1:3" hidden="1" x14ac:dyDescent="0.25">
      <c r="A164" s="204" t="s">
        <v>317</v>
      </c>
      <c r="B164" s="204" t="s">
        <v>338</v>
      </c>
      <c r="C164" s="206" t="s">
        <v>197</v>
      </c>
    </row>
    <row r="165" spans="1:3" hidden="1" x14ac:dyDescent="0.25">
      <c r="A165" s="205" t="s">
        <v>339</v>
      </c>
      <c r="B165" s="205" t="s">
        <v>347</v>
      </c>
      <c r="C165" s="205" t="s">
        <v>197</v>
      </c>
    </row>
    <row r="166" spans="1:3" hidden="1" x14ac:dyDescent="0.25">
      <c r="A166" s="204" t="s">
        <v>340</v>
      </c>
      <c r="B166" s="204" t="s">
        <v>348</v>
      </c>
      <c r="C166" s="204" t="s">
        <v>197</v>
      </c>
    </row>
    <row r="167" spans="1:3" hidden="1" x14ac:dyDescent="0.25">
      <c r="A167" s="205" t="s">
        <v>341</v>
      </c>
      <c r="B167" s="205" t="s">
        <v>349</v>
      </c>
      <c r="C167" s="205" t="s">
        <v>197</v>
      </c>
    </row>
    <row r="168" spans="1:3" hidden="1" x14ac:dyDescent="0.25">
      <c r="A168" s="204" t="s">
        <v>342</v>
      </c>
      <c r="B168" s="204" t="s">
        <v>350</v>
      </c>
      <c r="C168" s="204" t="s">
        <v>197</v>
      </c>
    </row>
    <row r="169" spans="1:3" hidden="1" x14ac:dyDescent="0.25">
      <c r="A169" s="205" t="s">
        <v>343</v>
      </c>
      <c r="B169" s="205" t="s">
        <v>351</v>
      </c>
      <c r="C169" s="205" t="s">
        <v>197</v>
      </c>
    </row>
    <row r="170" spans="1:3" hidden="1" x14ac:dyDescent="0.25">
      <c r="A170" s="204" t="s">
        <v>344</v>
      </c>
      <c r="B170" s="204" t="s">
        <v>352</v>
      </c>
      <c r="C170" s="204" t="s">
        <v>197</v>
      </c>
    </row>
    <row r="171" spans="1:3" hidden="1" x14ac:dyDescent="0.25">
      <c r="A171" s="205" t="s">
        <v>345</v>
      </c>
      <c r="B171" s="205" t="s">
        <v>353</v>
      </c>
      <c r="C171" s="205" t="s">
        <v>197</v>
      </c>
    </row>
    <row r="172" spans="1:3" hidden="1" x14ac:dyDescent="0.25">
      <c r="A172" s="204" t="s">
        <v>346</v>
      </c>
      <c r="B172" s="204" t="s">
        <v>354</v>
      </c>
      <c r="C172" s="204" t="s">
        <v>197</v>
      </c>
    </row>
    <row r="173" spans="1:3" ht="26.25" hidden="1" x14ac:dyDescent="0.25">
      <c r="A173" s="215" t="s">
        <v>297</v>
      </c>
      <c r="B173" s="221" t="s">
        <v>318</v>
      </c>
      <c r="C173" s="217" t="s">
        <v>197</v>
      </c>
    </row>
    <row r="174" spans="1:3" ht="26.25" hidden="1" x14ac:dyDescent="0.25">
      <c r="A174" s="205" t="s">
        <v>298</v>
      </c>
      <c r="B174" s="212" t="s">
        <v>319</v>
      </c>
      <c r="C174" s="207" t="s">
        <v>197</v>
      </c>
    </row>
    <row r="175" spans="1:3" ht="26.25" hidden="1" x14ac:dyDescent="0.25">
      <c r="A175" s="204" t="s">
        <v>299</v>
      </c>
      <c r="B175" s="213" t="s">
        <v>320</v>
      </c>
      <c r="C175" s="206" t="s">
        <v>197</v>
      </c>
    </row>
    <row r="176" spans="1:3" ht="26.25" hidden="1" x14ac:dyDescent="0.25">
      <c r="A176" s="205" t="s">
        <v>300</v>
      </c>
      <c r="B176" s="212" t="s">
        <v>321</v>
      </c>
      <c r="C176" s="207" t="s">
        <v>197</v>
      </c>
    </row>
    <row r="177" spans="1:3" ht="26.25" hidden="1" x14ac:dyDescent="0.25">
      <c r="A177" s="204" t="s">
        <v>301</v>
      </c>
      <c r="B177" s="213" t="s">
        <v>322</v>
      </c>
      <c r="C177" s="206" t="s">
        <v>197</v>
      </c>
    </row>
    <row r="178" spans="1:3" ht="26.25" hidden="1" x14ac:dyDescent="0.25">
      <c r="A178" s="205" t="s">
        <v>302</v>
      </c>
      <c r="B178" s="212" t="s">
        <v>323</v>
      </c>
      <c r="C178" s="207" t="s">
        <v>197</v>
      </c>
    </row>
    <row r="179" spans="1:3" ht="26.25" hidden="1" x14ac:dyDescent="0.25">
      <c r="A179" s="204" t="s">
        <v>303</v>
      </c>
      <c r="B179" s="213" t="s">
        <v>324</v>
      </c>
      <c r="C179" s="206" t="s">
        <v>197</v>
      </c>
    </row>
    <row r="180" spans="1:3" ht="26.25" hidden="1" x14ac:dyDescent="0.25">
      <c r="A180" s="205" t="s">
        <v>310</v>
      </c>
      <c r="B180" s="212" t="s">
        <v>331</v>
      </c>
      <c r="C180" s="207" t="s">
        <v>197</v>
      </c>
    </row>
    <row r="181" spans="1:3" ht="26.25" hidden="1" x14ac:dyDescent="0.25">
      <c r="A181" s="204" t="s">
        <v>311</v>
      </c>
      <c r="B181" s="213" t="s">
        <v>332</v>
      </c>
      <c r="C181" s="206" t="s">
        <v>197</v>
      </c>
    </row>
    <row r="182" spans="1:3" ht="26.25" hidden="1" x14ac:dyDescent="0.25">
      <c r="A182" s="205" t="s">
        <v>312</v>
      </c>
      <c r="B182" s="212" t="s">
        <v>333</v>
      </c>
      <c r="C182" s="207" t="s">
        <v>197</v>
      </c>
    </row>
    <row r="183" spans="1:3" hidden="1" x14ac:dyDescent="0.25">
      <c r="A183" s="205" t="s">
        <v>339</v>
      </c>
      <c r="B183" s="205" t="s">
        <v>347</v>
      </c>
      <c r="C183" s="205" t="s">
        <v>197</v>
      </c>
    </row>
    <row r="184" spans="1:3" hidden="1" x14ac:dyDescent="0.25">
      <c r="A184" s="204" t="s">
        <v>340</v>
      </c>
      <c r="B184" s="204" t="s">
        <v>348</v>
      </c>
      <c r="C184" s="204" t="s">
        <v>197</v>
      </c>
    </row>
    <row r="185" spans="1:3" hidden="1" x14ac:dyDescent="0.25">
      <c r="A185" s="205" t="s">
        <v>341</v>
      </c>
      <c r="B185" s="205" t="s">
        <v>349</v>
      </c>
      <c r="C185" s="205" t="s">
        <v>197</v>
      </c>
    </row>
    <row r="186" spans="1:3" hidden="1" x14ac:dyDescent="0.25">
      <c r="A186" s="204" t="s">
        <v>342</v>
      </c>
      <c r="B186" s="204" t="s">
        <v>350</v>
      </c>
      <c r="C186" s="204" t="s">
        <v>197</v>
      </c>
    </row>
    <row r="187" spans="1:3" ht="18.600000000000001" hidden="1" customHeight="1" x14ac:dyDescent="0.25">
      <c r="A187" s="205" t="s">
        <v>343</v>
      </c>
      <c r="B187" s="205" t="s">
        <v>351</v>
      </c>
      <c r="C187" s="205" t="s">
        <v>197</v>
      </c>
    </row>
    <row r="188" spans="1:3" ht="20.45" hidden="1" customHeight="1" x14ac:dyDescent="0.25">
      <c r="A188" s="204" t="s">
        <v>344</v>
      </c>
      <c r="B188" s="204" t="s">
        <v>352</v>
      </c>
      <c r="C188" s="204" t="s">
        <v>197</v>
      </c>
    </row>
  </sheetData>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D86C-0D70-4730-BB5F-56D05AF49CE8}">
  <dimension ref="A1:M79"/>
  <sheetViews>
    <sheetView topLeftCell="A12" zoomScaleNormal="100" workbookViewId="0">
      <selection activeCell="I39" sqref="I39"/>
    </sheetView>
  </sheetViews>
  <sheetFormatPr defaultColWidth="9.140625" defaultRowHeight="12.75" x14ac:dyDescent="0.2"/>
  <cols>
    <col min="1" max="1" width="14.140625" style="6" bestFit="1" customWidth="1"/>
    <col min="2" max="2" width="1.5703125" style="6" customWidth="1"/>
    <col min="3" max="3" width="30.140625" style="6" customWidth="1"/>
    <col min="4" max="4" width="1.5703125" style="6" customWidth="1"/>
    <col min="5" max="5" width="14.140625" style="37" customWidth="1"/>
    <col min="6" max="6" width="1.5703125" style="37" customWidth="1"/>
    <col min="7" max="7" width="12.42578125" style="38" customWidth="1"/>
    <col min="8" max="8" width="14.42578125" style="38" customWidth="1"/>
    <col min="9" max="9" width="16" style="38" customWidth="1"/>
    <col min="10" max="10" width="16.5703125" style="38" bestFit="1" customWidth="1"/>
    <col min="11" max="16384" width="9.140625" style="6"/>
  </cols>
  <sheetData>
    <row r="1" spans="1:10" ht="31.35" customHeight="1" x14ac:dyDescent="0.25">
      <c r="A1" s="296" t="s">
        <v>122</v>
      </c>
      <c r="B1" s="296"/>
      <c r="C1" s="296"/>
      <c r="D1" s="296"/>
      <c r="E1" s="296"/>
      <c r="F1" s="296"/>
      <c r="G1" s="296"/>
      <c r="H1" s="296"/>
      <c r="I1" s="296"/>
      <c r="J1" s="296"/>
    </row>
    <row r="2" spans="1:10" x14ac:dyDescent="0.2">
      <c r="A2" s="202" t="s">
        <v>357</v>
      </c>
      <c r="B2" s="202"/>
      <c r="C2" s="202"/>
      <c r="D2" s="202"/>
      <c r="E2" s="202"/>
      <c r="F2" s="202"/>
      <c r="G2" s="202"/>
      <c r="H2" s="202"/>
      <c r="I2" s="202"/>
      <c r="J2" s="202"/>
    </row>
    <row r="3" spans="1:10" x14ac:dyDescent="0.2">
      <c r="A3" s="7"/>
      <c r="B3" s="7"/>
      <c r="C3" s="7"/>
      <c r="D3" s="11" t="s">
        <v>14</v>
      </c>
      <c r="E3" s="42">
        <f>Instructions!P7</f>
        <v>0</v>
      </c>
      <c r="F3" s="8"/>
      <c r="G3" s="9"/>
      <c r="H3" s="9"/>
      <c r="I3" s="9"/>
      <c r="J3" s="9"/>
    </row>
    <row r="4" spans="1:10" x14ac:dyDescent="0.2">
      <c r="A4" s="7"/>
      <c r="B4" s="7"/>
      <c r="C4" s="7"/>
      <c r="D4" s="7"/>
      <c r="E4" s="10"/>
      <c r="F4" s="8"/>
      <c r="G4" s="9"/>
      <c r="H4" s="9"/>
      <c r="I4" s="9"/>
      <c r="J4" s="9"/>
    </row>
    <row r="5" spans="1:10" x14ac:dyDescent="0.2">
      <c r="A5" s="11" t="s">
        <v>2</v>
      </c>
      <c r="B5" s="11"/>
      <c r="C5" s="41">
        <f>Instructions!P4</f>
        <v>0</v>
      </c>
      <c r="D5" s="41"/>
      <c r="E5" s="12"/>
      <c r="F5" s="12"/>
      <c r="G5" s="13"/>
      <c r="H5" s="14"/>
      <c r="I5" s="14" t="s">
        <v>4</v>
      </c>
      <c r="J5" s="15">
        <f ca="1" xml:space="preserve"> TODAY()</f>
        <v>46036</v>
      </c>
    </row>
    <row r="6" spans="1:10" ht="6" customHeight="1" x14ac:dyDescent="0.2">
      <c r="A6" s="11"/>
      <c r="B6" s="11"/>
      <c r="C6" s="274"/>
      <c r="D6" s="274"/>
      <c r="E6" s="12"/>
      <c r="F6" s="12"/>
      <c r="G6" s="13"/>
      <c r="H6" s="14"/>
      <c r="I6" s="14"/>
      <c r="J6" s="15"/>
    </row>
    <row r="7" spans="1:10" x14ac:dyDescent="0.2">
      <c r="A7" s="11" t="s">
        <v>3</v>
      </c>
      <c r="B7" s="11"/>
      <c r="C7" s="298">
        <f>Instructions!P5</f>
        <v>0</v>
      </c>
      <c r="D7" s="298"/>
      <c r="E7" s="298"/>
      <c r="F7" s="298"/>
      <c r="G7" s="298"/>
      <c r="H7" s="145"/>
      <c r="I7" s="145" t="s">
        <v>104</v>
      </c>
      <c r="J7" s="1" t="s">
        <v>432</v>
      </c>
    </row>
    <row r="8" spans="1:10" ht="6" customHeight="1" x14ac:dyDescent="0.2">
      <c r="A8" s="11"/>
      <c r="B8" s="11"/>
      <c r="C8" s="274"/>
      <c r="D8" s="274"/>
      <c r="E8" s="274"/>
      <c r="F8" s="274"/>
      <c r="G8" s="274"/>
      <c r="H8" s="14"/>
      <c r="I8" s="14"/>
      <c r="J8" s="17"/>
    </row>
    <row r="9" spans="1:10" x14ac:dyDescent="0.2">
      <c r="A9" s="7"/>
      <c r="B9" s="7"/>
      <c r="C9" s="7"/>
      <c r="D9" s="7"/>
      <c r="E9" s="8"/>
      <c r="F9" s="8"/>
      <c r="G9" s="9"/>
      <c r="H9" s="14"/>
      <c r="I9" s="14" t="s">
        <v>6</v>
      </c>
      <c r="J9" s="2">
        <f>Instructions!P6</f>
        <v>0</v>
      </c>
    </row>
    <row r="10" spans="1:10" ht="14.45" customHeight="1" thickBot="1" x14ac:dyDescent="0.25">
      <c r="A10" s="7"/>
      <c r="B10" s="7"/>
      <c r="C10" s="7"/>
      <c r="D10" s="7"/>
      <c r="E10" s="8"/>
      <c r="F10" s="8"/>
      <c r="G10" s="9"/>
      <c r="H10" s="14"/>
      <c r="I10" s="14"/>
      <c r="J10" s="13"/>
    </row>
    <row r="11" spans="1:10" ht="19.350000000000001" customHeight="1" x14ac:dyDescent="0.25">
      <c r="A11" s="190"/>
      <c r="B11" s="191"/>
      <c r="C11" s="190" t="s">
        <v>134</v>
      </c>
      <c r="D11" s="191"/>
      <c r="E11" s="191"/>
      <c r="F11" s="189"/>
      <c r="G11" s="192"/>
      <c r="H11" s="193" t="str">
        <f>IF(FP="FP-03","SEE NOTE 1","SEE NOTES 1 and 4")</f>
        <v>SEE NOTES 1 and 4</v>
      </c>
      <c r="I11" s="193"/>
      <c r="J11" s="273"/>
    </row>
    <row r="12" spans="1:10" ht="13.5" thickBot="1" x14ac:dyDescent="0.25">
      <c r="A12" s="301" t="str">
        <f>"Use for the following FP Sections: "&amp;IF(FP="FP-14","301, 309, 311, 405, and 407","301, 308, 311, 405, and 407")</f>
        <v>Use for the following FP Sections: 301, 308, 311, 405, and 407</v>
      </c>
      <c r="B12" s="301"/>
      <c r="C12" s="301"/>
      <c r="D12" s="301"/>
      <c r="E12" s="301"/>
      <c r="F12" s="301"/>
      <c r="G12" s="301"/>
      <c r="H12" s="301"/>
      <c r="I12" s="301"/>
      <c r="J12" s="301"/>
    </row>
    <row r="13" spans="1:10" x14ac:dyDescent="0.2">
      <c r="A13" s="18" t="s">
        <v>140</v>
      </c>
      <c r="B13" s="18"/>
      <c r="C13" s="18" t="s">
        <v>133</v>
      </c>
      <c r="D13" s="18"/>
      <c r="E13" s="18" t="s">
        <v>9</v>
      </c>
      <c r="F13" s="18"/>
      <c r="G13" s="18"/>
      <c r="H13" s="18"/>
      <c r="I13" s="18"/>
      <c r="J13" s="18"/>
    </row>
    <row r="14" spans="1:10" ht="26.45" customHeight="1" thickBot="1" x14ac:dyDescent="0.25">
      <c r="A14" s="203" t="s">
        <v>139</v>
      </c>
      <c r="B14" s="19"/>
      <c r="C14" s="19" t="s">
        <v>125</v>
      </c>
      <c r="D14" s="19"/>
      <c r="E14" s="214" t="str">
        <f>IF(Units="US CUSTOMARY"," (Tons, yd3, or yd2)"," (tonnes, m3, or m2)")</f>
        <v xml:space="preserve"> (tonnes, m3, or m2)</v>
      </c>
      <c r="F14" s="22"/>
      <c r="G14" s="21" t="s">
        <v>0</v>
      </c>
      <c r="H14" s="21" t="str">
        <f>"Q_"&amp;IF(Units="US CUSTOMARY","Ton","t")&amp;" Unit Price"</f>
        <v>Q_t Unit Price</v>
      </c>
      <c r="I14" s="21" t="s">
        <v>355</v>
      </c>
      <c r="J14" s="21" t="s">
        <v>1</v>
      </c>
    </row>
    <row r="15" spans="1:10" ht="13.5" thickTop="1" x14ac:dyDescent="0.2">
      <c r="A15" s="229"/>
      <c r="B15" s="183"/>
      <c r="C15" s="225"/>
      <c r="D15" s="23"/>
      <c r="E15" s="244"/>
      <c r="F15" s="25"/>
      <c r="G15" s="237"/>
      <c r="H15" s="26" t="str">
        <f>IFERROR(VLOOKUP(C15,inputSchD!$A$2:$F$188,6,FALSE),"")</f>
        <v/>
      </c>
      <c r="I15" s="239" t="str">
        <f>IFERROR(H15/G15,"")</f>
        <v/>
      </c>
      <c r="J15" s="26" t="str">
        <f>IF(AND(ISNUMBER(E15),ISNUMBER(H15)),ROUND(E15*H15,2),"-")</f>
        <v>-</v>
      </c>
    </row>
    <row r="16" spans="1:10" ht="6" customHeight="1" x14ac:dyDescent="0.2">
      <c r="A16" s="230"/>
      <c r="B16" s="184"/>
      <c r="C16" s="226"/>
      <c r="D16" s="23"/>
      <c r="E16" s="208"/>
      <c r="F16" s="25"/>
      <c r="G16" s="27"/>
      <c r="H16" s="26"/>
      <c r="I16" s="239"/>
      <c r="J16" s="26"/>
    </row>
    <row r="17" spans="1:13" x14ac:dyDescent="0.2">
      <c r="A17" s="185"/>
      <c r="B17" s="184"/>
      <c r="C17" s="225"/>
      <c r="D17" s="23"/>
      <c r="E17" s="236"/>
      <c r="F17" s="25"/>
      <c r="G17" s="237"/>
      <c r="H17" s="26" t="str">
        <f>IFERROR(VLOOKUP(C17,inputSchD!$A$2:$F$188,6,FALSE),"")</f>
        <v/>
      </c>
      <c r="I17" s="239" t="str">
        <f>IFERROR(H17/G17,"")</f>
        <v/>
      </c>
      <c r="J17" s="26" t="str">
        <f>IF(AND(ISNUMBER(E17),ISNUMBER(H17)),ROUND(E17*H17,2),"-")</f>
        <v>-</v>
      </c>
    </row>
    <row r="18" spans="1:13" ht="6" customHeight="1" x14ac:dyDescent="0.2">
      <c r="A18" s="230"/>
      <c r="B18" s="184"/>
      <c r="C18" s="226"/>
      <c r="D18" s="23"/>
      <c r="E18" s="209"/>
      <c r="F18" s="25"/>
      <c r="G18" s="26"/>
      <c r="H18" s="26"/>
      <c r="I18" s="239"/>
      <c r="J18" s="26"/>
    </row>
    <row r="19" spans="1:13" x14ac:dyDescent="0.2">
      <c r="A19" s="185"/>
      <c r="B19" s="184"/>
      <c r="C19" s="225"/>
      <c r="D19" s="23"/>
      <c r="E19" s="236"/>
      <c r="F19" s="25"/>
      <c r="G19" s="237"/>
      <c r="H19" s="26" t="str">
        <f>IFERROR(VLOOKUP(C19,inputSchD!$A$2:$F$188,6,FALSE),"")</f>
        <v/>
      </c>
      <c r="I19" s="239" t="str">
        <f>IFERROR(H19/G19,"")</f>
        <v/>
      </c>
      <c r="J19" s="26" t="str">
        <f>IF(AND(ISNUMBER(E19),ISNUMBER(H19)),ROUND(E19*H19,2),"-")</f>
        <v>-</v>
      </c>
    </row>
    <row r="20" spans="1:13" ht="6" customHeight="1" x14ac:dyDescent="0.2">
      <c r="A20" s="230"/>
      <c r="B20" s="184"/>
      <c r="C20" s="226"/>
      <c r="D20" s="23"/>
      <c r="E20" s="209"/>
      <c r="F20" s="25"/>
      <c r="G20" s="26"/>
      <c r="H20" s="26"/>
      <c r="I20" s="239"/>
      <c r="J20" s="26"/>
    </row>
    <row r="21" spans="1:13" x14ac:dyDescent="0.2">
      <c r="A21" s="185"/>
      <c r="B21" s="184"/>
      <c r="C21" s="225"/>
      <c r="D21" s="23"/>
      <c r="E21" s="236"/>
      <c r="F21" s="25"/>
      <c r="G21" s="237"/>
      <c r="H21" s="26" t="str">
        <f>IFERROR(VLOOKUP(C21,inputSchD!$A$2:$F$188,6,FALSE),"")</f>
        <v/>
      </c>
      <c r="I21" s="239" t="str">
        <f>IFERROR(H21/G21,"")</f>
        <v/>
      </c>
      <c r="J21" s="26" t="str">
        <f>IF(AND(ISNUMBER(E21),ISNUMBER(H21)),ROUND(E21*H21,2),"-")</f>
        <v>-</v>
      </c>
    </row>
    <row r="22" spans="1:13" ht="6" customHeight="1" x14ac:dyDescent="0.2">
      <c r="A22" s="230"/>
      <c r="B22" s="184"/>
      <c r="C22" s="226"/>
      <c r="D22" s="23"/>
      <c r="E22" s="209"/>
      <c r="F22" s="25"/>
      <c r="G22" s="26"/>
      <c r="H22" s="26"/>
      <c r="I22" s="239"/>
      <c r="J22" s="26"/>
    </row>
    <row r="23" spans="1:13" x14ac:dyDescent="0.2">
      <c r="A23" s="185"/>
      <c r="B23" s="184"/>
      <c r="C23" s="225"/>
      <c r="D23" s="23" t="str">
        <f>IFERROR(VLOOKUP(C23,inputSchA!$A$2:$F$135,3,FALSE),"")</f>
        <v/>
      </c>
      <c r="E23" s="236"/>
      <c r="F23" s="25"/>
      <c r="G23" s="237"/>
      <c r="H23" s="26" t="str">
        <f>IFERROR(VLOOKUP(C23,inputSchD!$A$2:$F$188,6,FALSE),"")</f>
        <v/>
      </c>
      <c r="I23" s="239" t="str">
        <f>IFERROR(H23/G23,"")</f>
        <v/>
      </c>
      <c r="J23" s="26" t="str">
        <f>IF(AND(ISNUMBER(E23),ISNUMBER(H23)),ROUND(E23*H23,2),"-")</f>
        <v>-</v>
      </c>
    </row>
    <row r="24" spans="1:13" ht="6" customHeight="1" x14ac:dyDescent="0.2">
      <c r="A24" s="230"/>
      <c r="B24" s="184"/>
      <c r="C24" s="226"/>
      <c r="D24" s="23"/>
      <c r="E24" s="209"/>
      <c r="F24" s="25"/>
      <c r="G24" s="26"/>
      <c r="H24" s="26"/>
      <c r="I24" s="239"/>
      <c r="J24" s="26"/>
    </row>
    <row r="25" spans="1:13" x14ac:dyDescent="0.2">
      <c r="A25" s="185"/>
      <c r="B25" s="184"/>
      <c r="C25" s="225"/>
      <c r="D25" s="23" t="str">
        <f>IFERROR(VLOOKUP(C25,inputSchA!$A$2:$F$135,3,FALSE),"")</f>
        <v/>
      </c>
      <c r="E25" s="236"/>
      <c r="F25" s="25"/>
      <c r="G25" s="237"/>
      <c r="H25" s="26" t="str">
        <f>IFERROR(VLOOKUP(C25,inputSchD!$A$2:$F$188,6,FALSE),"")</f>
        <v/>
      </c>
      <c r="I25" s="239" t="str">
        <f>IFERROR(H25/G25,"")</f>
        <v/>
      </c>
      <c r="J25" s="26" t="str">
        <f>IF(AND(ISNUMBER(E25),ISNUMBER(H25)),ROUND(E25*H25,2),"-")</f>
        <v>-</v>
      </c>
    </row>
    <row r="26" spans="1:13" ht="13.5" thickBot="1" x14ac:dyDescent="0.25">
      <c r="A26" s="23"/>
      <c r="B26" s="23"/>
      <c r="C26" s="227"/>
      <c r="D26" s="24"/>
      <c r="E26" s="25"/>
      <c r="F26" s="25"/>
      <c r="G26" s="27"/>
      <c r="H26" s="26"/>
      <c r="I26" s="26"/>
      <c r="J26" s="26"/>
    </row>
    <row r="27" spans="1:13" ht="18.75" x14ac:dyDescent="0.25">
      <c r="A27" s="299" t="s">
        <v>127</v>
      </c>
      <c r="B27" s="299"/>
      <c r="C27" s="299"/>
      <c r="D27" s="299"/>
      <c r="E27" s="299"/>
      <c r="F27" s="299"/>
      <c r="G27" s="299"/>
      <c r="H27" s="299"/>
      <c r="I27" s="299"/>
      <c r="J27" s="299"/>
      <c r="M27" s="28"/>
    </row>
    <row r="28" spans="1:13" ht="13.5" thickBot="1" x14ac:dyDescent="0.25">
      <c r="A28" s="301" t="s">
        <v>126</v>
      </c>
      <c r="B28" s="301"/>
      <c r="C28" s="301"/>
      <c r="D28" s="301"/>
      <c r="E28" s="301"/>
      <c r="F28" s="301"/>
      <c r="G28" s="301"/>
      <c r="H28" s="301"/>
      <c r="I28" s="301"/>
      <c r="J28" s="301"/>
      <c r="M28" s="28"/>
    </row>
    <row r="29" spans="1:13" x14ac:dyDescent="0.2">
      <c r="A29" s="18" t="s">
        <v>140</v>
      </c>
      <c r="B29" s="18"/>
      <c r="C29" s="18" t="s">
        <v>133</v>
      </c>
      <c r="D29" s="18"/>
      <c r="E29" s="18" t="s">
        <v>9</v>
      </c>
      <c r="F29" s="18"/>
      <c r="G29" s="18"/>
      <c r="H29" s="18"/>
      <c r="I29" s="18"/>
      <c r="J29" s="18"/>
    </row>
    <row r="30" spans="1:13" ht="13.5" thickBot="1" x14ac:dyDescent="0.25">
      <c r="A30" s="203" t="s">
        <v>139</v>
      </c>
      <c r="B30" s="19"/>
      <c r="C30" s="19" t="s">
        <v>125</v>
      </c>
      <c r="D30" s="20"/>
      <c r="E30" s="21" t="str">
        <f>IF(Units="US CUSTOMARY"," (Ton)"," (tonnes)")</f>
        <v xml:space="preserve"> (tonnes)</v>
      </c>
      <c r="F30" s="22"/>
      <c r="G30" s="21" t="s">
        <v>0</v>
      </c>
      <c r="H30" s="21" t="str">
        <f>"Q_"&amp;IF(Units="US CUSTOMARY","Ton","t")&amp;" Unit Price"</f>
        <v>Q_t Unit Price</v>
      </c>
      <c r="I30" s="21" t="s">
        <v>355</v>
      </c>
      <c r="J30" s="21" t="s">
        <v>1</v>
      </c>
      <c r="M30" s="28"/>
    </row>
    <row r="31" spans="1:13" ht="13.5" thickTop="1" x14ac:dyDescent="0.2">
      <c r="A31" s="181"/>
      <c r="B31" s="23"/>
      <c r="C31" s="225"/>
      <c r="D31" s="23"/>
      <c r="E31" s="3"/>
      <c r="F31" s="231"/>
      <c r="G31" s="4"/>
      <c r="H31" s="26" t="str">
        <f>IF(AND(E31&gt;=2100,E31&lt;4200),ROUND(G31*0.02,2),IF(AND(E31&gt;=4200,E31&lt;4900),ROUND(G31*0.04,2),IF(AND(E31&gt;=4900,E31&lt;5600),ROUND(G31*0.05,2),IF(AND(E31&gt;=5600),ROUND(G31*0.06,2),"-"))))</f>
        <v>-</v>
      </c>
      <c r="I31" s="239" t="str">
        <f>IFERROR(H31/G31,"")</f>
        <v/>
      </c>
      <c r="J31" s="26" t="str">
        <f>IF(AND(ISNUMBER(E31),ISNUMBER(H31)),ROUND(E31*H31,2),"-")</f>
        <v>-</v>
      </c>
    </row>
    <row r="32" spans="1:13" ht="6" customHeight="1" x14ac:dyDescent="0.2">
      <c r="A32" s="228"/>
      <c r="B32" s="23"/>
      <c r="C32" s="227"/>
      <c r="D32" s="24"/>
      <c r="E32" s="231"/>
      <c r="F32" s="231"/>
      <c r="G32" s="232"/>
      <c r="H32" s="26"/>
      <c r="I32" s="26"/>
      <c r="J32" s="26"/>
    </row>
    <row r="33" spans="1:10" x14ac:dyDescent="0.2">
      <c r="A33" s="181"/>
      <c r="B33" s="23"/>
      <c r="C33" s="225"/>
      <c r="D33" s="23"/>
      <c r="E33" s="3"/>
      <c r="F33" s="231"/>
      <c r="G33" s="4"/>
      <c r="H33" s="26" t="str">
        <f>IF(AND(E33&gt;=2100,E33&lt;4200),ROUND(G33*0.02,2),IF(AND(E33&gt;=4200,E33&lt;4900),ROUND(G33*0.04,2),IF(AND(E33&gt;=4900,E33&lt;5600),ROUND(G33*0.05,2),IF(AND(E33&gt;=5600),ROUND(G33*0.06,2),"-"))))</f>
        <v>-</v>
      </c>
      <c r="I33" s="239" t="str">
        <f>IFERROR(H33/G33,"")</f>
        <v/>
      </c>
      <c r="J33" s="26" t="str">
        <f>IF(AND(ISNUMBER(E33),ISNUMBER(H33)),ROUND(E33*H33,2),"-")</f>
        <v>-</v>
      </c>
    </row>
    <row r="34" spans="1:10" ht="5.45" customHeight="1" x14ac:dyDescent="0.2">
      <c r="A34" s="228"/>
      <c r="B34" s="23"/>
      <c r="C34" s="227"/>
      <c r="D34" s="24"/>
      <c r="E34" s="233"/>
      <c r="F34" s="231"/>
      <c r="G34" s="234"/>
      <c r="H34" s="26"/>
      <c r="I34" s="26"/>
      <c r="J34" s="26"/>
    </row>
    <row r="35" spans="1:10" ht="13.5" thickBot="1" x14ac:dyDescent="0.25">
      <c r="A35" s="181"/>
      <c r="B35" s="23"/>
      <c r="C35" s="225"/>
      <c r="D35" s="23"/>
      <c r="E35" s="3"/>
      <c r="F35" s="231"/>
      <c r="G35" s="4"/>
      <c r="H35" s="26" t="str">
        <f>IF(AND(E35&gt;=2100,E35&lt;4200),ROUND(G35*0.02,2),IF(AND(E35&gt;=4200,E35&lt;4900),ROUND(G35*0.04,2),IF(AND(E35&gt;=4900,E35&lt;5600),ROUND(G35*0.05,2),IF(AND(E35&gt;=5600),ROUND(G35*0.06,2),"-"))))</f>
        <v>-</v>
      </c>
      <c r="I35" s="239" t="str">
        <f>IFERROR(H35/G35,"")</f>
        <v/>
      </c>
      <c r="J35" s="26" t="str">
        <f>IF(AND(ISNUMBER(E35),ISNUMBER(H35)),ROUND(E35*H35,2),"-")</f>
        <v>-</v>
      </c>
    </row>
    <row r="36" spans="1:10" ht="18.75" x14ac:dyDescent="0.25">
      <c r="A36" s="299" t="s">
        <v>429</v>
      </c>
      <c r="B36" s="299"/>
      <c r="C36" s="299"/>
      <c r="D36" s="299"/>
      <c r="E36" s="299"/>
      <c r="F36" s="299"/>
      <c r="G36" s="299"/>
      <c r="H36" s="299"/>
      <c r="I36" s="299"/>
      <c r="J36" s="299"/>
    </row>
    <row r="37" spans="1:10" ht="13.5" thickBot="1" x14ac:dyDescent="0.25">
      <c r="A37" s="301" t="str">
        <f>"Use for FP Section "&amp;IF(FP="FP-14","431","404")</f>
        <v>Use for FP Section 404</v>
      </c>
      <c r="B37" s="301"/>
      <c r="C37" s="301"/>
      <c r="D37" s="301"/>
      <c r="E37" s="301"/>
      <c r="F37" s="301"/>
      <c r="G37" s="301"/>
      <c r="H37" s="301"/>
      <c r="I37" s="301"/>
      <c r="J37" s="301"/>
    </row>
    <row r="38" spans="1:10" x14ac:dyDescent="0.2">
      <c r="A38" s="18" t="s">
        <v>140</v>
      </c>
      <c r="B38" s="18"/>
      <c r="C38" s="18" t="s">
        <v>133</v>
      </c>
      <c r="D38" s="18"/>
      <c r="E38" s="18" t="s">
        <v>9</v>
      </c>
      <c r="F38" s="18"/>
      <c r="G38" s="18"/>
      <c r="H38" s="18"/>
      <c r="I38" s="18"/>
      <c r="J38" s="18"/>
    </row>
    <row r="39" spans="1:10" ht="13.5" thickBot="1" x14ac:dyDescent="0.25">
      <c r="A39" s="203" t="s">
        <v>139</v>
      </c>
      <c r="B39" s="19"/>
      <c r="C39" s="19" t="s">
        <v>125</v>
      </c>
      <c r="D39" s="20"/>
      <c r="E39" s="21" t="str">
        <f>IF(Units="US CUSTOMARY"," (Tons or yd2)"," (tonnes, m2)")</f>
        <v xml:space="preserve"> (tonnes, m2)</v>
      </c>
      <c r="F39" s="22"/>
      <c r="G39" s="21" t="s">
        <v>0</v>
      </c>
      <c r="H39" s="21" t="str">
        <f>"Q_"&amp;IF(Units="US CUSTOMARY","Ton","t")&amp;" Unit Price"</f>
        <v>Q_t Unit Price</v>
      </c>
      <c r="I39" s="21" t="s">
        <v>355</v>
      </c>
      <c r="J39" s="21" t="s">
        <v>456</v>
      </c>
    </row>
    <row r="40" spans="1:10" ht="13.5" thickTop="1" x14ac:dyDescent="0.2">
      <c r="A40" s="181"/>
      <c r="B40" s="23"/>
      <c r="C40" s="225"/>
      <c r="D40" s="23"/>
      <c r="E40" s="3"/>
      <c r="F40" s="231"/>
      <c r="G40" s="4"/>
      <c r="H40" s="26" t="str">
        <f>IFERROR(VLOOKUP(C40,inputSchD!$A$2:$F$188,6,FALSE),"")</f>
        <v/>
      </c>
      <c r="I40" s="239" t="str">
        <f>IFERROR(H40/G40,"")</f>
        <v/>
      </c>
      <c r="J40" s="281" t="str">
        <f>IF(AND(ISNUMBER(E40),ISNUMBER(H40)),IF(E40*H40&gt;=1000,(E40*H40),"-"),"-")</f>
        <v>-</v>
      </c>
    </row>
    <row r="41" spans="1:10" s="7" customFormat="1" ht="4.5" customHeight="1" x14ac:dyDescent="0.2">
      <c r="A41" s="259"/>
      <c r="B41" s="23"/>
      <c r="C41" s="260"/>
      <c r="D41" s="23"/>
      <c r="E41" s="231"/>
      <c r="F41" s="231"/>
      <c r="G41" s="232"/>
      <c r="H41" s="26"/>
      <c r="I41" s="239"/>
      <c r="J41" s="26"/>
    </row>
    <row r="42" spans="1:10" x14ac:dyDescent="0.2">
      <c r="A42" s="181"/>
      <c r="B42" s="23"/>
      <c r="C42" s="225"/>
      <c r="D42" s="23"/>
      <c r="E42" s="3"/>
      <c r="F42" s="231"/>
      <c r="G42" s="4"/>
      <c r="H42" s="26" t="str">
        <f>IFERROR(VLOOKUP(C42,inputSchD!$A$2:$F$188,6,FALSE),"")</f>
        <v/>
      </c>
      <c r="I42" s="239" t="str">
        <f>IFERROR(H42/G42,"")</f>
        <v/>
      </c>
      <c r="J42" s="281" t="str">
        <f>IF(AND(ISNUMBER(E42),ISNUMBER(H42)),IF(E42*H42&gt;=1000,(E42*H42),"-"),"-")</f>
        <v>-</v>
      </c>
    </row>
    <row r="43" spans="1:10" ht="4.5" customHeight="1" x14ac:dyDescent="0.2">
      <c r="A43" s="7"/>
      <c r="B43" s="7"/>
      <c r="C43" s="7"/>
      <c r="D43" s="7"/>
      <c r="E43" s="8"/>
      <c r="F43" s="8"/>
      <c r="G43" s="9"/>
      <c r="H43" s="9"/>
      <c r="I43" s="9"/>
      <c r="J43" s="9"/>
    </row>
    <row r="44" spans="1:10" s="30" customFormat="1" x14ac:dyDescent="0.2">
      <c r="A44" s="181"/>
      <c r="B44" s="23"/>
      <c r="C44" s="225"/>
      <c r="D44" s="23"/>
      <c r="E44" s="3"/>
      <c r="F44" s="231"/>
      <c r="G44" s="4"/>
      <c r="H44" s="26" t="str">
        <f>IFERROR(VLOOKUP(C44,inputSchD!$A$2:$F$188,6,FALSE),"")</f>
        <v/>
      </c>
      <c r="I44" s="239" t="str">
        <f>IFERROR(H44/G44,"")</f>
        <v/>
      </c>
      <c r="J44" s="281" t="str">
        <f>IF(AND(ISNUMBER(E44),ISNUMBER(H44)),IF(E44*H44&gt;=1000,E44*H44),"-")</f>
        <v>-</v>
      </c>
    </row>
    <row r="45" spans="1:10" s="30" customFormat="1" ht="6.75" customHeight="1" x14ac:dyDescent="0.2">
      <c r="A45" s="259"/>
      <c r="B45" s="23"/>
      <c r="C45" s="260"/>
      <c r="D45" s="23"/>
      <c r="E45" s="231"/>
      <c r="F45" s="231"/>
      <c r="G45" s="232"/>
      <c r="H45" s="26"/>
      <c r="I45" s="239"/>
      <c r="J45" s="26"/>
    </row>
    <row r="46" spans="1:10" s="30" customFormat="1" x14ac:dyDescent="0.2">
      <c r="A46" s="181"/>
      <c r="B46" s="23"/>
      <c r="C46" s="225"/>
      <c r="D46" s="23"/>
      <c r="E46" s="3"/>
      <c r="F46" s="231"/>
      <c r="G46" s="4"/>
      <c r="H46" s="26" t="str">
        <f>IFERROR(VLOOKUP(C46,inputSchD!$A$2:$F$188,6,FALSE),"")</f>
        <v/>
      </c>
      <c r="I46" s="239" t="str">
        <f>IFERROR(H46/G46,"")</f>
        <v/>
      </c>
      <c r="J46" s="281" t="str">
        <f>IF(AND(ISNUMBER(E46),ISNUMBER(H46)),IF(E46*H46&gt;=1000,(E46*H46),"-"),"-")</f>
        <v>-</v>
      </c>
    </row>
    <row r="47" spans="1:10" x14ac:dyDescent="0.2">
      <c r="A47" s="295" t="s">
        <v>7</v>
      </c>
      <c r="B47" s="295"/>
      <c r="C47" s="295"/>
      <c r="D47" s="295"/>
      <c r="E47" s="295"/>
      <c r="F47" s="295"/>
      <c r="G47" s="295"/>
      <c r="H47" s="295"/>
      <c r="I47" s="272"/>
      <c r="J47" s="29">
        <f>ROUND(SUM(J15,J17,J19,J21,J23,J25,J31,J33,J35,J40,J42,J44,J46),2)</f>
        <v>0</v>
      </c>
    </row>
    <row r="48" spans="1:10" x14ac:dyDescent="0.2">
      <c r="A48" s="31"/>
      <c r="B48" s="31"/>
      <c r="C48" s="31"/>
      <c r="D48" s="31"/>
      <c r="E48" s="31"/>
      <c r="F48" s="31"/>
      <c r="G48" s="31"/>
      <c r="H48" s="31"/>
      <c r="I48" s="31"/>
      <c r="J48" s="32"/>
    </row>
    <row r="49" spans="1:10" ht="13.5" thickBot="1" x14ac:dyDescent="0.25">
      <c r="A49" s="31"/>
      <c r="B49" s="31"/>
      <c r="C49" s="31"/>
      <c r="D49" s="31"/>
      <c r="E49" s="31"/>
      <c r="F49" s="31"/>
      <c r="G49" s="31"/>
      <c r="H49" s="31"/>
      <c r="I49" s="31"/>
      <c r="J49" s="32"/>
    </row>
    <row r="50" spans="1:10" ht="18.75" x14ac:dyDescent="0.25">
      <c r="A50" s="300" t="s">
        <v>128</v>
      </c>
      <c r="B50" s="300"/>
      <c r="C50" s="300"/>
      <c r="D50" s="300"/>
      <c r="E50" s="300"/>
      <c r="F50" s="300"/>
      <c r="G50" s="300"/>
      <c r="H50" s="300"/>
      <c r="I50" s="300"/>
      <c r="J50" s="300"/>
    </row>
    <row r="51" spans="1:10" ht="13.5" thickBot="1" x14ac:dyDescent="0.25">
      <c r="A51" s="297" t="s">
        <v>126</v>
      </c>
      <c r="B51" s="297"/>
      <c r="C51" s="297"/>
      <c r="D51" s="297"/>
      <c r="E51" s="297"/>
      <c r="F51" s="297"/>
      <c r="G51" s="297"/>
      <c r="H51" s="297"/>
      <c r="I51" s="297"/>
      <c r="J51" s="297"/>
    </row>
    <row r="52" spans="1:10" x14ac:dyDescent="0.2">
      <c r="A52" s="18" t="s">
        <v>129</v>
      </c>
      <c r="B52" s="18"/>
      <c r="C52" s="18" t="s">
        <v>130</v>
      </c>
      <c r="D52" s="18"/>
      <c r="E52" s="18" t="s">
        <v>132</v>
      </c>
      <c r="F52" s="18"/>
      <c r="G52" s="18"/>
      <c r="H52" s="18"/>
      <c r="I52" s="18"/>
      <c r="J52" s="18"/>
    </row>
    <row r="53" spans="1:10" ht="16.899999999999999" customHeight="1" thickBot="1" x14ac:dyDescent="0.25">
      <c r="A53" s="19" t="s">
        <v>124</v>
      </c>
      <c r="B53" s="19"/>
      <c r="C53" s="19" t="s">
        <v>131</v>
      </c>
      <c r="D53" s="20"/>
      <c r="E53" s="22" t="str">
        <f>"Lane-"&amp;IF(Units="US CUSTOMARY","miles","kilometers")</f>
        <v>Lane-kilometers</v>
      </c>
      <c r="F53" s="22"/>
      <c r="G53" s="21"/>
      <c r="H53" s="21"/>
      <c r="I53" s="21"/>
      <c r="J53" s="21" t="s">
        <v>1</v>
      </c>
    </row>
    <row r="54" spans="1:10" ht="15.6" customHeight="1" thickTop="1" x14ac:dyDescent="0.2">
      <c r="A54" s="181"/>
      <c r="B54" s="23"/>
      <c r="C54" s="181"/>
      <c r="D54" s="7"/>
      <c r="E54" s="5"/>
      <c r="F54" s="33"/>
      <c r="G54" s="26"/>
      <c r="H54" s="26"/>
      <c r="I54" s="26"/>
      <c r="J54" s="26" t="str">
        <f>IF(E54&gt;=0.1,(IF(FP="FP-24",(100000*(1.05-1)*E54),IF(FP="FP-14",(40000*(1.05-1)*E54),"-"))),"-")</f>
        <v>-</v>
      </c>
    </row>
    <row r="55" spans="1:10" ht="6.75" customHeight="1" x14ac:dyDescent="0.2">
      <c r="A55" s="228"/>
      <c r="B55" s="23"/>
      <c r="C55" s="228"/>
      <c r="D55" s="7"/>
      <c r="E55" s="33"/>
      <c r="F55" s="33"/>
      <c r="G55" s="26"/>
      <c r="H55" s="26"/>
      <c r="I55" s="26"/>
      <c r="J55" s="26"/>
    </row>
    <row r="56" spans="1:10" ht="11.25" customHeight="1" x14ac:dyDescent="0.2">
      <c r="A56" s="181"/>
      <c r="B56" s="23"/>
      <c r="C56" s="181"/>
      <c r="D56" s="7"/>
      <c r="E56" s="5"/>
      <c r="F56" s="33"/>
      <c r="G56" s="26"/>
      <c r="H56" s="26"/>
      <c r="I56" s="26"/>
      <c r="J56" s="26" t="str">
        <f>IF(E56&gt;=0.1,(IF(FP="FP-24",(100000*(1.05-1)*E56),IF(FP="FP-14",(40000*(1.05-1)*E56),"-"))),"-")</f>
        <v>-</v>
      </c>
    </row>
    <row r="57" spans="1:10" ht="6.75" customHeight="1" x14ac:dyDescent="0.2">
      <c r="A57" s="228"/>
      <c r="B57" s="23"/>
      <c r="C57" s="228"/>
      <c r="D57" s="7"/>
      <c r="E57" s="182"/>
      <c r="F57" s="33"/>
      <c r="G57" s="26"/>
      <c r="H57" s="26"/>
      <c r="I57" s="26"/>
      <c r="J57" s="26"/>
    </row>
    <row r="58" spans="1:10" x14ac:dyDescent="0.2">
      <c r="A58" s="181"/>
      <c r="B58" s="23"/>
      <c r="C58" s="181"/>
      <c r="D58" s="7"/>
      <c r="E58" s="5"/>
      <c r="F58" s="33"/>
      <c r="G58" s="26"/>
      <c r="H58" s="26"/>
      <c r="I58" s="26"/>
      <c r="J58" s="26" t="str">
        <f>IF(E58&gt;=0.1,(IF(FP="FP-24",(100000*(1.05-1)*E58),IF(FP="FP-14",(40000*(1.05-1)*E58),"-"))),"-")</f>
        <v>-</v>
      </c>
    </row>
    <row r="59" spans="1:10" x14ac:dyDescent="0.2">
      <c r="A59" s="23"/>
      <c r="B59" s="23"/>
      <c r="C59" s="7"/>
      <c r="D59" s="7"/>
      <c r="E59" s="33"/>
      <c r="F59" s="33"/>
      <c r="G59" s="26"/>
      <c r="H59" s="26"/>
      <c r="I59" s="26"/>
      <c r="J59" s="26"/>
    </row>
    <row r="60" spans="1:10" x14ac:dyDescent="0.2">
      <c r="A60" s="295" t="s">
        <v>8</v>
      </c>
      <c r="B60" s="295"/>
      <c r="C60" s="295"/>
      <c r="D60" s="295"/>
      <c r="E60" s="295"/>
      <c r="F60" s="295"/>
      <c r="G60" s="295"/>
      <c r="H60" s="295"/>
      <c r="I60" s="272"/>
      <c r="J60" s="34">
        <f>SUM(J54,J56,J58)</f>
        <v>0</v>
      </c>
    </row>
    <row r="61" spans="1:10" x14ac:dyDescent="0.2">
      <c r="A61" s="7"/>
      <c r="B61" s="7"/>
      <c r="C61" s="180"/>
      <c r="D61" s="7"/>
      <c r="E61" s="8"/>
      <c r="F61" s="8"/>
      <c r="G61" s="9"/>
      <c r="H61" s="35"/>
      <c r="I61" s="35"/>
      <c r="J61" s="36"/>
    </row>
    <row r="62" spans="1:10" x14ac:dyDescent="0.2">
      <c r="A62" s="39" t="s">
        <v>10</v>
      </c>
      <c r="B62" s="39"/>
      <c r="C62" s="40" t="s">
        <v>258</v>
      </c>
      <c r="D62" s="7"/>
      <c r="E62" s="8"/>
      <c r="F62" s="8"/>
      <c r="G62" s="9"/>
      <c r="H62" s="35"/>
      <c r="I62" s="35"/>
      <c r="J62" s="36"/>
    </row>
    <row r="63" spans="1:10" x14ac:dyDescent="0.2">
      <c r="A63" s="40"/>
      <c r="B63" s="40"/>
      <c r="C63" s="40" t="s">
        <v>11</v>
      </c>
      <c r="D63" s="7"/>
      <c r="E63" s="8"/>
      <c r="F63" s="8"/>
      <c r="G63" s="9"/>
      <c r="H63" s="9"/>
      <c r="I63" s="9"/>
      <c r="J63" s="9"/>
    </row>
    <row r="64" spans="1:10" ht="22.5" x14ac:dyDescent="0.2">
      <c r="A64" s="40"/>
      <c r="B64" s="40"/>
      <c r="C64" s="201" t="str">
        <f>"Use if item quantity is equal or greater than "&amp;IF(Units="US CUSTOMARY","3,000 tons for aggregate base/aggregate surface course, and 40,000 sqyd for open graded asphalt friction course/chip seal for each separate pay item.","2,722 tonnes for aggregate base/aggregate surface course and 33,445 m2 for chip seal for each separate pay item. If the quantity is in m2 for aggregate base/aggregate surface course, convert it to tonnes")</f>
        <v>Use if item quantity is equal or greater than 2,722 tonnes for aggregate base/aggregate surface course and 33,445 m2 for chip seal for each separate pay item. If the quantity is in m2 for aggregate base/aggregate surface course, convert it to tonnes</v>
      </c>
      <c r="D64" s="218"/>
      <c r="E64" s="219"/>
      <c r="F64" s="219"/>
      <c r="G64" s="220"/>
      <c r="H64" s="220"/>
      <c r="I64" s="220"/>
      <c r="J64" s="220"/>
    </row>
    <row r="65" spans="1:10" x14ac:dyDescent="0.2">
      <c r="A65" s="39" t="s">
        <v>12</v>
      </c>
      <c r="B65" s="39"/>
      <c r="C65" s="40" t="s">
        <v>427</v>
      </c>
      <c r="D65" s="40"/>
      <c r="E65" s="8"/>
      <c r="F65" s="8"/>
      <c r="G65" s="9"/>
      <c r="H65" s="9"/>
      <c r="I65" s="9"/>
      <c r="J65" s="9"/>
    </row>
    <row r="66" spans="1:10" x14ac:dyDescent="0.2">
      <c r="A66" s="40"/>
      <c r="B66" s="40"/>
      <c r="C66" s="40" t="s">
        <v>11</v>
      </c>
      <c r="D66" s="40"/>
      <c r="E66" s="8"/>
      <c r="F66" s="8"/>
      <c r="G66" s="9"/>
      <c r="H66" s="9"/>
      <c r="I66" s="9"/>
      <c r="J66" s="9"/>
    </row>
    <row r="67" spans="1:10" x14ac:dyDescent="0.2">
      <c r="A67" s="40"/>
      <c r="B67" s="40"/>
      <c r="C67" s="180" t="str">
        <f>"Use if item quantity is equal or greater than "&amp;IF(Units="US CUSTOMARY","2,100 tons for asphalt concrete pavement for each separate pay item.","1,905 tonnes for asphalt concrete pavement for each separate pay item.")</f>
        <v>Use if item quantity is equal or greater than 1,905 tonnes for asphalt concrete pavement for each separate pay item.</v>
      </c>
      <c r="D67" s="180"/>
      <c r="E67" s="8"/>
      <c r="F67" s="8"/>
      <c r="G67" s="9"/>
      <c r="H67" s="9"/>
      <c r="I67" s="9"/>
      <c r="J67" s="9"/>
    </row>
    <row r="68" spans="1:10" x14ac:dyDescent="0.2">
      <c r="A68" s="39" t="s">
        <v>13</v>
      </c>
      <c r="B68" s="39"/>
      <c r="C68" s="40" t="str">
        <f>"Incentive Amt = "&amp;IF(FP="FP-14","Lane-miles x 40,000 x 0.05)","Lane-miles x 100,000 x 0.05")</f>
        <v>Incentive Amt = Lane-miles x 100,000 x 0.05</v>
      </c>
      <c r="D68" s="40"/>
      <c r="E68" s="8"/>
      <c r="F68" s="8"/>
      <c r="G68" s="9"/>
      <c r="H68" s="9"/>
      <c r="I68" s="9"/>
      <c r="J68" s="9"/>
    </row>
    <row r="69" spans="1:10" x14ac:dyDescent="0.2">
      <c r="A69" s="39"/>
      <c r="B69" s="39"/>
      <c r="C69" s="194" t="str">
        <f>"Use if roadway has "&amp;IF(Units="US CUSTOMARY","0.1 ","0.15 ")&amp;""&amp;IF(Units="US CUSTOMARY","LANE MILES of continuous paving (turning lanes, passing lanes, side roads, and ramps less than ","lane-km of continuous paving (turning lanes, passing lanes, side roads, and ramps less than ") &amp;IF(Units="US CUSTOMARY","1000 feet are not","300 meters are not")</f>
        <v>Use if roadway has 0.15 lane-km of continuous paving (turning lanes, passing lanes, side roads, and ramps less than 300 meters are not</v>
      </c>
      <c r="D69" s="198"/>
      <c r="E69" s="199"/>
      <c r="F69" s="199"/>
      <c r="G69" s="200"/>
      <c r="H69" s="200"/>
      <c r="I69" s="200"/>
      <c r="J69" s="200"/>
    </row>
    <row r="70" spans="1:10" x14ac:dyDescent="0.2">
      <c r="A70" s="39"/>
      <c r="B70" s="39"/>
      <c r="C70" s="194" t="s">
        <v>135</v>
      </c>
      <c r="D70" s="195"/>
      <c r="E70" s="196"/>
      <c r="F70" s="196"/>
      <c r="G70" s="197"/>
      <c r="H70" s="197"/>
      <c r="I70" s="197"/>
      <c r="J70" s="197"/>
    </row>
    <row r="71" spans="1:10" x14ac:dyDescent="0.2">
      <c r="A71" s="39"/>
      <c r="B71" s="39"/>
      <c r="C71" s="194" t="s">
        <v>137</v>
      </c>
      <c r="D71" s="195"/>
      <c r="E71" s="196"/>
      <c r="F71" s="196"/>
      <c r="G71" s="197"/>
      <c r="H71" s="197"/>
      <c r="I71" s="197"/>
      <c r="J71" s="197"/>
    </row>
    <row r="72" spans="1:10" x14ac:dyDescent="0.2">
      <c r="A72" s="39"/>
      <c r="B72" s="39"/>
      <c r="C72" s="194" t="s">
        <v>136</v>
      </c>
      <c r="D72" s="195"/>
      <c r="E72" s="196"/>
      <c r="F72" s="196"/>
      <c r="G72" s="197"/>
      <c r="H72" s="197"/>
      <c r="I72" s="197"/>
      <c r="J72" s="197"/>
    </row>
    <row r="73" spans="1:10" x14ac:dyDescent="0.2">
      <c r="A73" s="39" t="str">
        <f>IF(FP="FP-03","","Note 4: ")</f>
        <v xml:space="preserve">Note 4: </v>
      </c>
      <c r="B73" s="39"/>
      <c r="C73" s="186" t="str">
        <f>"Fill out inputSch* worksheet for any "&amp;IF(FP="FP-14","301, 309, 311, 405, and 407 pay items","301, 308, 311, 405, and 407")</f>
        <v>Fill out inputSch* worksheet for any 301, 308, 311, 405, and 407</v>
      </c>
      <c r="D73" s="40"/>
      <c r="E73" s="8"/>
      <c r="F73" s="8"/>
      <c r="G73" s="9"/>
      <c r="H73" s="9"/>
      <c r="I73" s="9"/>
      <c r="J73" s="9"/>
    </row>
    <row r="74" spans="1:10" x14ac:dyDescent="0.2">
      <c r="A74" s="39" t="s">
        <v>138</v>
      </c>
      <c r="B74" s="39"/>
      <c r="C74" s="186" t="s">
        <v>260</v>
      </c>
      <c r="D74" s="40"/>
      <c r="E74" s="8"/>
      <c r="F74" s="8"/>
      <c r="G74" s="9"/>
      <c r="H74" s="9"/>
      <c r="I74" s="9"/>
      <c r="J74" s="9"/>
    </row>
    <row r="75" spans="1:10" x14ac:dyDescent="0.2">
      <c r="A75" s="39" t="s">
        <v>428</v>
      </c>
      <c r="B75" s="39"/>
      <c r="C75" s="40" t="s">
        <v>457</v>
      </c>
      <c r="D75" s="40"/>
      <c r="E75" s="8"/>
      <c r="F75" s="8"/>
      <c r="G75" s="9"/>
      <c r="H75" s="9"/>
      <c r="I75" s="9"/>
      <c r="J75" s="9"/>
    </row>
    <row r="76" spans="1:10" x14ac:dyDescent="0.2">
      <c r="A76" s="39"/>
      <c r="B76" s="39"/>
      <c r="C76" s="180" t="str">
        <f>"For"&amp;IF(FP="FP-14"," 431 pay items measured by the SQYD: Incentive Amt = Quantity (sqyd) x PF where:"," 404 pay items measured by the SQYD: Incentive Amt = Quantity (sqyd) x PF where:")</f>
        <v>For 404 pay items measured by the SQYD: Incentive Amt = Quantity (sqyd) x PF where:</v>
      </c>
      <c r="D76" s="40"/>
      <c r="E76" s="8"/>
      <c r="F76" s="8"/>
      <c r="G76" s="9"/>
      <c r="H76" s="9"/>
      <c r="I76" s="9"/>
      <c r="J76" s="9"/>
    </row>
    <row r="77" spans="1:10" x14ac:dyDescent="0.2">
      <c r="A77" s="39"/>
      <c r="B77" s="39"/>
      <c r="C77" s="180" t="s">
        <v>460</v>
      </c>
      <c r="D77" s="40"/>
      <c r="E77" s="8"/>
      <c r="F77" s="8"/>
      <c r="G77" s="9"/>
      <c r="H77" s="9"/>
      <c r="I77" s="9"/>
      <c r="J77" s="9"/>
    </row>
    <row r="78" spans="1:10" ht="10.5" customHeight="1" x14ac:dyDescent="0.2">
      <c r="A78" s="39"/>
      <c r="B78" s="39"/>
      <c r="C78" s="265" t="s">
        <v>461</v>
      </c>
      <c r="D78" s="40"/>
      <c r="E78" s="8"/>
      <c r="F78" s="8"/>
      <c r="G78" s="9"/>
      <c r="H78" s="9"/>
      <c r="I78" s="9"/>
      <c r="J78" s="187"/>
    </row>
    <row r="79" spans="1:10" x14ac:dyDescent="0.2">
      <c r="A79" s="39"/>
      <c r="B79" s="39"/>
      <c r="C79" s="280" t="s">
        <v>458</v>
      </c>
      <c r="D79" s="40"/>
      <c r="E79" s="8"/>
      <c r="F79" s="8"/>
      <c r="G79" s="9"/>
      <c r="H79" s="9"/>
      <c r="I79" s="9"/>
      <c r="J79" s="187" t="str">
        <f>Instructions!M11</f>
        <v>EFL-TM-ESS-01(13)</v>
      </c>
    </row>
  </sheetData>
  <dataConsolidate/>
  <mergeCells count="11">
    <mergeCell ref="A36:J36"/>
    <mergeCell ref="A1:J1"/>
    <mergeCell ref="C7:G7"/>
    <mergeCell ref="A12:J12"/>
    <mergeCell ref="A27:J27"/>
    <mergeCell ref="A28:J28"/>
    <mergeCell ref="A37:J37"/>
    <mergeCell ref="A47:H47"/>
    <mergeCell ref="A50:J50"/>
    <mergeCell ref="A51:J51"/>
    <mergeCell ref="A60:H60"/>
  </mergeCells>
  <conditionalFormatting sqref="H15">
    <cfRule type="expression" dxfId="32" priority="19">
      <formula>AND($H15=0,$E15&gt;0)=TRUE</formula>
    </cfRule>
  </conditionalFormatting>
  <conditionalFormatting sqref="H17">
    <cfRule type="expression" dxfId="31" priority="8">
      <formula>AND($H17=0,$E17&gt;0)=TRUE</formula>
    </cfRule>
  </conditionalFormatting>
  <conditionalFormatting sqref="H19">
    <cfRule type="expression" dxfId="30" priority="7">
      <formula>AND($H19=0,$E19&gt;0)=TRUE</formula>
    </cfRule>
  </conditionalFormatting>
  <conditionalFormatting sqref="H21">
    <cfRule type="expression" dxfId="29" priority="6">
      <formula>AND($H21=0,$E21&gt;0)=TRUE</formula>
    </cfRule>
  </conditionalFormatting>
  <conditionalFormatting sqref="H23">
    <cfRule type="expression" dxfId="28" priority="5">
      <formula>AND($H23=0,$E23&gt;0)=TRUE</formula>
    </cfRule>
  </conditionalFormatting>
  <conditionalFormatting sqref="H25">
    <cfRule type="expression" dxfId="27" priority="4">
      <formula>AND($H25=0,$E25&gt;0)=TRUE</formula>
    </cfRule>
  </conditionalFormatting>
  <conditionalFormatting sqref="H40">
    <cfRule type="expression" dxfId="26" priority="18">
      <formula>AND($H40=0,$E40&gt;0)=TRUE</formula>
    </cfRule>
  </conditionalFormatting>
  <conditionalFormatting sqref="H42">
    <cfRule type="expression" dxfId="25" priority="3">
      <formula>AND($H42=0,$E42&gt;0)=TRUE</formula>
    </cfRule>
  </conditionalFormatting>
  <conditionalFormatting sqref="H44">
    <cfRule type="expression" dxfId="24" priority="2">
      <formula>AND($H44=0,$E44&gt;0)=TRUE</formula>
    </cfRule>
  </conditionalFormatting>
  <conditionalFormatting sqref="H46">
    <cfRule type="expression" dxfId="23" priority="1">
      <formula>AND($H46=0,$E46&gt;0)=TRUE</formula>
    </cfRule>
  </conditionalFormatting>
  <dataValidations count="9">
    <dataValidation allowBlank="1" showInputMessage="1" showErrorMessage="1" prompt="If your Q_Ton unit price is highlighted in red, ensure quantity and unit price have both been entered, then check the line item in the &quot;inputSchA&quot; tab to review further instructions. " sqref="H15 H25 H40 H42 H44 H17 H19 H23 H21 H46" xr:uid="{1AD5903B-6C9A-4D36-9F7F-90A62CCAF29D}"/>
    <dataValidation type="list" allowBlank="1" showErrorMessage="1" promptTitle="Select Schedule Type " prompt="Select Schedule or Option " sqref="H7" xr:uid="{58F0BDDB-EB55-447D-9AF3-ADEDADC7868B}">
      <formula1>", Schedule: , Option: "</formula1>
    </dataValidation>
    <dataValidation type="list" allowBlank="1" showInputMessage="1" showErrorMessage="1" promptTitle="Select Schedule Type " prompt="Select Schedule or Option " sqref="I7" xr:uid="{6533A9B4-ED17-416B-9B95-C63C06A8640B}">
      <formula1>", Schedule: , Option: "</formula1>
    </dataValidation>
    <dataValidation allowBlank="1" showErrorMessage="1" promptTitle="Enter project name" prompt="Example:  Pinto Basin Road" sqref="C7:G7" xr:uid="{5BDE13C0-F803-473C-842B-2E6C7AECCEBC}"/>
    <dataValidation allowBlank="1" showErrorMessage="1" promptTitle="Enter project number" prompt="Example:  CA FTNP JOTR 11(5)" sqref="C5:D5" xr:uid="{CB4D185E-8E01-4A6F-B761-F921B9AFDA93}"/>
    <dataValidation allowBlank="1" showInputMessage="1" showErrorMessage="1" error="Please use the drop-down menu to select the FP version" promptTitle="Select FP Version" prompt="In &quot;Instructions&quot; Tab" sqref="E3" xr:uid="{7002721A-F456-41EB-8A7B-91EB876DF520}"/>
    <dataValidation type="list" allowBlank="1" showInputMessage="1" showErrorMessage="1" error="Please use the drop-down menu to select the project units" promptTitle="Select Units" prompt="Select Metric or US Customary" sqref="J9" xr:uid="{CD5833B9-9DFA-4168-BA1C-F9F9EBF0761A}">
      <formula1>"METRIC, US CUSTOMARY"</formula1>
    </dataValidation>
    <dataValidation type="list" showInputMessage="1" showErrorMessage="1" error="Please use drop-down menu to select a schedule letter" promptTitle="Choose Letter" prompt="If you need more than six schedules, then copy addtional sheet tabs and calculate incentives separately for each schedule._x000a__x000a_Sheets tabs can be copied by left clicking the acitve tab and choosing 'Move or Copy', then clicking the 'Create Copy' checkbox." sqref="J7" xr:uid="{8DA77BB4-3E01-4740-811E-DB1455F8F6FD}">
      <formula1>"  , A, B, C, D, E, F, G, W, X, Y, Z"</formula1>
    </dataValidation>
    <dataValidation type="whole" operator="greaterThanOrEqual" allowBlank="1" showInputMessage="1" showErrorMessage="1" error="Bid decimals set to zero._x000a__x000a_Contact Heidi Hirsbrunner (X3622)_x000a_                _x000a_to modify Incentive Spreadsheet." sqref="E31 E33:E35 E40:E42 E44:E46" xr:uid="{35AED8F8-45F8-47B4-BE5F-77CBE9A7354C}">
      <formula1>0</formula1>
    </dataValidation>
  </dataValidations>
  <printOptions horizontalCentered="1"/>
  <pageMargins left="0.7" right="0.7" top="0.75" bottom="0.75" header="0.3" footer="0.3"/>
  <pageSetup scale="75"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8D4CDB1-AC3A-4D5A-9D32-FD4B7026E206}">
          <x14:formula1>
            <xm:f>inputSchA!$A$2:$A$143</xm:f>
          </x14:formula1>
          <xm:sqref>C15 C17 C19 C21 C23 C25</xm:sqref>
        </x14:dataValidation>
        <x14:dataValidation type="list" allowBlank="1" showInputMessage="1" showErrorMessage="1" prompt="For FP-24 Projects, select applicable 404 pay item from the list_x000a_For FP-14 Projects, select pay item 43101-0000 or 43102-0000 from the list" xr:uid="{FB0DD69C-2448-4F76-A0F3-7713BB3EAB34}">
          <x14:formula1>
            <xm:f>inputSchA!$A$136:$A$143</xm:f>
          </x14:formula1>
          <xm:sqref>C46 C40 C42 C44</xm:sqref>
        </x14:dataValidation>
        <x14:dataValidation type="list" allowBlank="1" showInputMessage="1" showErrorMessage="1" xr:uid="{CD3D4183-29C6-4037-852F-A60D67B3D0CE}">
          <x14:formula1>
            <xm:f>inputSchA!$A$144:$A$188</xm:f>
          </x14:formula1>
          <xm:sqref>A54 C35 C33 A58 A56 C31</xm:sqref>
        </x14:dataValidation>
        <x14:dataValidation type="list" allowBlank="1" showInputMessage="1" showErrorMessage="1" xr:uid="{C476E6D5-5E2E-4965-9DFF-AAB631598AE7}">
          <x14:formula1>
            <xm:f>inputSchA!$A$142:$A$142</xm:f>
          </x14:formula1>
          <xm:sqref>C45</xm:sqref>
        </x14:dataValidation>
        <x14:dataValidation type="list" allowBlank="1" showInputMessage="1" showErrorMessage="1" xr:uid="{97303E06-FA75-4595-89A7-890DCDBBBB62}">
          <x14:formula1>
            <xm:f>inputSchA!$A$144:$A$172</xm:f>
          </x14:formula1>
          <xm:sqref>C41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03E46-9604-45CE-8841-488AD60F2880}">
  <dimension ref="A1:P188"/>
  <sheetViews>
    <sheetView workbookViewId="0">
      <pane xSplit="3" ySplit="1" topLeftCell="D121" activePane="bottomRight" state="frozen"/>
      <selection activeCell="T35" sqref="T35"/>
      <selection pane="topRight" activeCell="T35" sqref="T35"/>
      <selection pane="bottomLeft" activeCell="T35" sqref="T35"/>
      <selection pane="bottomRight" activeCell="F136" sqref="F136:F143"/>
    </sheetView>
  </sheetViews>
  <sheetFormatPr defaultRowHeight="15" x14ac:dyDescent="0.25"/>
  <cols>
    <col min="1" max="1" width="10.85546875" customWidth="1"/>
    <col min="2" max="2" width="62.140625" customWidth="1"/>
    <col min="3" max="3" width="8.140625" customWidth="1"/>
    <col min="6" max="6" width="14.5703125" customWidth="1"/>
  </cols>
  <sheetData>
    <row r="1" spans="1:6" x14ac:dyDescent="0.25">
      <c r="A1" s="210" t="s">
        <v>133</v>
      </c>
      <c r="B1" s="210" t="s">
        <v>256</v>
      </c>
      <c r="C1" s="211" t="s">
        <v>257</v>
      </c>
      <c r="D1" s="222" t="s">
        <v>9</v>
      </c>
      <c r="E1" s="222" t="s">
        <v>0</v>
      </c>
      <c r="F1" s="211" t="s">
        <v>259</v>
      </c>
    </row>
    <row r="2" spans="1:6" x14ac:dyDescent="0.25">
      <c r="A2" s="204" t="s">
        <v>143</v>
      </c>
      <c r="B2" s="204" t="s">
        <v>196</v>
      </c>
      <c r="C2" s="206" t="s">
        <v>197</v>
      </c>
      <c r="D2" s="223" t="str">
        <f>IFERROR(VLOOKUP($A2,'SCH D'!$C$15:$E$58,3,FALSE),"")</f>
        <v/>
      </c>
      <c r="E2" s="238" t="str">
        <f>IFERROR(VLOOKUP($A2,'SCH D'!$C$15:$G$58,5,FALSE),"")</f>
        <v/>
      </c>
      <c r="F2" s="26" t="e">
        <f>IF(AND(D2&gt;=3000,D2&lt;6000),ROUND(E2*0.01,2),IF(AND(D2&gt;=6000,D2&lt;7000),ROUND(E2*0.03,2),IF(AND(D2&gt;=7000,D2&lt;8000),ROUND(E2*0.04,2),IF(AND(D2&gt;=8000),ROUND(E2*0.05,2),"-"))))</f>
        <v>#VALUE!</v>
      </c>
    </row>
    <row r="3" spans="1:6" x14ac:dyDescent="0.25">
      <c r="A3" s="205" t="s">
        <v>144</v>
      </c>
      <c r="B3" s="205" t="s">
        <v>198</v>
      </c>
      <c r="C3" s="207" t="s">
        <v>197</v>
      </c>
      <c r="D3" s="223" t="str">
        <f>IFERROR(VLOOKUP($A3,'SCH D'!$C$15:$E$58,3,FALSE),"")</f>
        <v/>
      </c>
      <c r="E3" s="238" t="str">
        <f>IFERROR(VLOOKUP($A3,'SCH D'!$C$15:$G$58,5,FALSE),"")</f>
        <v/>
      </c>
      <c r="F3" s="26" t="e">
        <f t="shared" ref="F3:F6" si="0">IF(AND(D3&gt;=3000,D3&lt;6000),ROUND(E3*0.01,2),IF(AND(D3&gt;=6000,D3&lt;7000),ROUND(E3*0.03,2),IF(AND(D3&gt;=7000,D3&lt;8000),ROUND(E3*0.04,2),IF(AND(D3&gt;=8000),ROUND(E3*0.05,2),"-"))))</f>
        <v>#VALUE!</v>
      </c>
    </row>
    <row r="4" spans="1:6" x14ac:dyDescent="0.25">
      <c r="A4" s="204" t="s">
        <v>145</v>
      </c>
      <c r="B4" s="204" t="s">
        <v>199</v>
      </c>
      <c r="C4" s="206" t="s">
        <v>197</v>
      </c>
      <c r="D4" s="223" t="str">
        <f>IFERROR(VLOOKUP($A4,'SCH D'!$C$15:$E$58,3,FALSE),"")</f>
        <v/>
      </c>
      <c r="E4" s="238" t="str">
        <f>IFERROR(VLOOKUP($A4,'SCH D'!$C$15:$G$58,5,FALSE),"")</f>
        <v/>
      </c>
      <c r="F4" s="26" t="e">
        <f t="shared" si="0"/>
        <v>#VALUE!</v>
      </c>
    </row>
    <row r="5" spans="1:6" x14ac:dyDescent="0.25">
      <c r="A5" s="205" t="s">
        <v>146</v>
      </c>
      <c r="B5" s="205" t="s">
        <v>200</v>
      </c>
      <c r="C5" s="207" t="s">
        <v>197</v>
      </c>
      <c r="D5" s="223" t="str">
        <f>IFERROR(VLOOKUP($A5,'SCH D'!$C$15:$E$58,3,FALSE),"")</f>
        <v/>
      </c>
      <c r="E5" s="238" t="str">
        <f>IFERROR(VLOOKUP($A5,'SCH D'!$C$15:$G$58,5,FALSE),"")</f>
        <v/>
      </c>
      <c r="F5" s="26" t="e">
        <f t="shared" si="0"/>
        <v>#VALUE!</v>
      </c>
    </row>
    <row r="6" spans="1:6" x14ac:dyDescent="0.25">
      <c r="A6" s="204" t="s">
        <v>147</v>
      </c>
      <c r="B6" s="204" t="s">
        <v>201</v>
      </c>
      <c r="C6" s="206" t="s">
        <v>197</v>
      </c>
      <c r="D6" s="223" t="str">
        <f>IFERROR(VLOOKUP($A6,'SCH D'!$C$15:$E$58,3,FALSE),"")</f>
        <v/>
      </c>
      <c r="E6" s="238" t="str">
        <f>IFERROR(VLOOKUP($A6,'SCH D'!$C$15:$G$58,5,FALSE),"")</f>
        <v/>
      </c>
      <c r="F6" s="26" t="e">
        <f t="shared" si="0"/>
        <v>#VALUE!</v>
      </c>
    </row>
    <row r="7" spans="1:6" x14ac:dyDescent="0.25">
      <c r="A7" s="205" t="s">
        <v>148</v>
      </c>
      <c r="B7" s="205" t="s">
        <v>196</v>
      </c>
      <c r="C7" s="207" t="s">
        <v>29</v>
      </c>
      <c r="D7" s="223" t="str">
        <f>IFERROR(VLOOKUP($A7,'SCH D'!$C$15:$E$58,3,FALSE),"")</f>
        <v/>
      </c>
      <c r="E7" s="238" t="str">
        <f>IFERROR(VLOOKUP($A7,'SCH D'!$C$15:$G$58,5,FALSE),"")</f>
        <v/>
      </c>
      <c r="F7" s="224"/>
    </row>
    <row r="8" spans="1:6" x14ac:dyDescent="0.25">
      <c r="A8" s="204" t="s">
        <v>149</v>
      </c>
      <c r="B8" s="204" t="s">
        <v>202</v>
      </c>
      <c r="C8" s="206" t="s">
        <v>29</v>
      </c>
      <c r="D8" s="223" t="str">
        <f>IFERROR(VLOOKUP($A8,'SCH D'!$C$15:$E$58,3,FALSE),"")</f>
        <v/>
      </c>
      <c r="E8" s="238" t="str">
        <f>IFERROR(VLOOKUP($A8,'SCH D'!$C$15:$G$58,5,FALSE),"")</f>
        <v/>
      </c>
      <c r="F8" s="26" t="e">
        <f>IF(AND(D8&gt;=14285.71,D8&lt;28571.43),ROUND(E8*0.01,2),IF(AND(D8&gt;=28571.43,D8&lt;33333.33),ROUND(E8*0.03,2),IF(AND(D8&gt;=33333.33,D8&lt;38095.24),ROUND(E8*0.04,2),IF(AND(D8&gt;=38095.24),ROUND(E8*0.05,2),"-"))))</f>
        <v>#VALUE!</v>
      </c>
    </row>
    <row r="9" spans="1:6" x14ac:dyDescent="0.25">
      <c r="A9" s="205" t="s">
        <v>150</v>
      </c>
      <c r="B9" s="205" t="s">
        <v>203</v>
      </c>
      <c r="C9" s="207" t="s">
        <v>29</v>
      </c>
      <c r="D9" s="223" t="str">
        <f>IFERROR(VLOOKUP($A9,'SCH D'!$C$15:$E$58,3,FALSE),"")</f>
        <v/>
      </c>
      <c r="E9" s="238" t="str">
        <f>IFERROR(VLOOKUP($A9,'SCH D'!$C$15:$G$58,5,FALSE),"")</f>
        <v/>
      </c>
      <c r="F9" s="26" t="e">
        <f>IF(AND(D9&gt;=9523.81,D9&lt;19047.62),ROUND(E9*0.01,2),IF(AND(D9&gt;=19047.62,D9&lt;22222.22),ROUND(E9*0.03,2),IF(AND(D9&gt;=22222.22,D9&lt;25396.83),ROUND(E9*0.04,2),IF(AND(D9&gt;=25396.83),ROUND(E9*0.05,2),"-"))))</f>
        <v>#VALUE!</v>
      </c>
    </row>
    <row r="10" spans="1:6" x14ac:dyDescent="0.25">
      <c r="A10" s="204" t="s">
        <v>151</v>
      </c>
      <c r="B10" s="204" t="s">
        <v>204</v>
      </c>
      <c r="C10" s="206" t="s">
        <v>29</v>
      </c>
      <c r="D10" s="223" t="str">
        <f>IFERROR(VLOOKUP($A10,'SCH D'!$C$15:$E$58,3,FALSE),"")</f>
        <v/>
      </c>
      <c r="E10" s="238" t="str">
        <f>IFERROR(VLOOKUP($A10,'SCH D'!$C$15:$G$58,5,FALSE),"")</f>
        <v/>
      </c>
      <c r="F10" s="26" t="e">
        <f>IF(AND(D10&gt;=7142.86,D10&lt;14285.71),ROUND(E10*0.01,2),IF(AND(D10&gt;=14285.71,D10&lt;16666.67),ROUND(E10*0.03,2),IF(AND(D10&gt;=16666.67,D10&lt;19047.62),ROUND(E10*0.04,2),IF(AND(D10&gt;=19047.62),ROUND(E10*0.05,2),"-"))))</f>
        <v>#VALUE!</v>
      </c>
    </row>
    <row r="11" spans="1:6" x14ac:dyDescent="0.25">
      <c r="A11" s="205" t="s">
        <v>152</v>
      </c>
      <c r="B11" s="205" t="s">
        <v>205</v>
      </c>
      <c r="C11" s="207" t="s">
        <v>29</v>
      </c>
      <c r="D11" s="223" t="str">
        <f>IFERROR(VLOOKUP($A11,'SCH D'!$C$15:$E$58,3,FALSE),"")</f>
        <v/>
      </c>
      <c r="E11" s="238" t="str">
        <f>IFERROR(VLOOKUP($A11,'SCH D'!$C$15:$G$58,5,FALSE),"")</f>
        <v/>
      </c>
      <c r="F11" s="26" t="e">
        <f>IF(AND(D11&gt;=5714.29,D11&lt;11428.57),ROUND(E11*0.01,2),IF(AND(D11&gt;=11,428.57,D11&lt;13333.33),ROUND(E11*0.03,2),IF(AND(D11&gt;=13333.33,D11&lt;15238.1),ROUND(E11*0.04,2),IF(AND(D11&gt;=15238.1),ROUND(E11*0.05,2),"-"))))</f>
        <v>#VALUE!</v>
      </c>
    </row>
    <row r="12" spans="1:6" x14ac:dyDescent="0.25">
      <c r="A12" s="204" t="s">
        <v>153</v>
      </c>
      <c r="B12" s="204" t="s">
        <v>206</v>
      </c>
      <c r="C12" s="206" t="s">
        <v>29</v>
      </c>
      <c r="D12" s="223" t="str">
        <f>IFERROR(VLOOKUP($A12,'SCH D'!$C$15:$E$58,3,FALSE),"")</f>
        <v/>
      </c>
      <c r="E12" s="238" t="str">
        <f>IFERROR(VLOOKUP($A12,'SCH D'!$C$15:$G$58,5,FALSE),"")</f>
        <v/>
      </c>
      <c r="F12" s="26" t="e">
        <f>IF(AND(D12&gt;=4761.9,D12&lt;9523.81),ROUND(E12*0.01,2),IF(AND(D12&gt;=9523.81,D12&lt;11111.11),ROUND(E12*0.03,2),IF(AND(D12&gt;=11111.11,D12&lt;12698.41),ROUND(E12*0.04,2),IF(AND(D12&gt;=12698.41),ROUND(E12*0.05,2),"-"))))</f>
        <v>#VALUE!</v>
      </c>
    </row>
    <row r="13" spans="1:6" x14ac:dyDescent="0.25">
      <c r="A13" s="205" t="s">
        <v>154</v>
      </c>
      <c r="B13" s="205" t="s">
        <v>207</v>
      </c>
      <c r="C13" s="207" t="s">
        <v>29</v>
      </c>
      <c r="D13" s="223" t="str">
        <f>IFERROR(VLOOKUP($A13,'SCH D'!$C$15:$E$58,3,FALSE),"")</f>
        <v/>
      </c>
      <c r="E13" s="238" t="str">
        <f>IFERROR(VLOOKUP($A13,'SCH D'!$C$15:$G$58,5,FALSE),"")</f>
        <v/>
      </c>
      <c r="F13" s="26" t="e">
        <f>IF(AND(D13&gt;=14,285.71,D13&lt;28571.43),ROUND(E13*0.01,2),IF(AND(D13&gt;=28571.43,D13&lt;33333.33),ROUND(E13*0.03,2),IF(AND(D13&gt;=33333.33,D13&lt;38095.24),ROUND(E13*0.04,2),IF(AND(D13&gt;=38095.24),ROUND(E13*0.05,2),"-"))))</f>
        <v>#VALUE!</v>
      </c>
    </row>
    <row r="14" spans="1:6" x14ac:dyDescent="0.25">
      <c r="A14" s="204" t="s">
        <v>155</v>
      </c>
      <c r="B14" s="204" t="s">
        <v>208</v>
      </c>
      <c r="C14" s="206" t="s">
        <v>29</v>
      </c>
      <c r="D14" s="223" t="str">
        <f>IFERROR(VLOOKUP($A14,'SCH D'!$C$15:$E$58,3,FALSE),"")</f>
        <v/>
      </c>
      <c r="E14" s="238" t="str">
        <f>IFERROR(VLOOKUP($A14,'SCH D'!$C$15:$G$58,5,FALSE),"")</f>
        <v/>
      </c>
      <c r="F14" s="26" t="e">
        <f>IF(AND(D14&gt;=9523.81,D14&lt;19047.62),ROUND(E14*0.01,2),IF(AND(D14&gt;=19047.62,D14&lt;22222.22),ROUND(E14*0.03,2),IF(AND(D14&gt;=22222.22,D14&lt;25396.83),ROUND(E14*0.04,2),IF(AND(D14&gt;=25396.83),ROUND(E14*0.05,2),"-"))))</f>
        <v>#VALUE!</v>
      </c>
    </row>
    <row r="15" spans="1:6" x14ac:dyDescent="0.25">
      <c r="A15" s="205" t="s">
        <v>156</v>
      </c>
      <c r="B15" s="205" t="s">
        <v>209</v>
      </c>
      <c r="C15" s="207" t="s">
        <v>29</v>
      </c>
      <c r="D15" s="223" t="str">
        <f>IFERROR(VLOOKUP($A15,'SCH D'!$C$15:$E$58,3,FALSE),"")</f>
        <v/>
      </c>
      <c r="E15" s="238" t="str">
        <f>IFERROR(VLOOKUP($A15,'SCH D'!$C$15:$G$58,5,FALSE),"")</f>
        <v/>
      </c>
      <c r="F15" s="26" t="e">
        <f>IF(AND(D15&gt;=7142.86,D15&lt;14285.71),ROUND(E15*0.01,2),IF(AND(D15&gt;=14285.71,D15&lt;16666.67),ROUND(E15*0.03,2),IF(AND(D15&gt;=16666.67,D15&lt;19047.62),ROUND(E15*0.04,2),IF(AND(D15&gt;=19047.62),ROUND(E15*0.05,2),"-"))))</f>
        <v>#VALUE!</v>
      </c>
    </row>
    <row r="16" spans="1:6" x14ac:dyDescent="0.25">
      <c r="A16" s="204" t="s">
        <v>157</v>
      </c>
      <c r="B16" s="204" t="s">
        <v>210</v>
      </c>
      <c r="C16" s="206" t="s">
        <v>29</v>
      </c>
      <c r="D16" s="223" t="str">
        <f>IFERROR(VLOOKUP($A16,'SCH D'!$C$15:$E$58,3,FALSE),"")</f>
        <v/>
      </c>
      <c r="E16" s="238" t="str">
        <f>IFERROR(VLOOKUP($A16,'SCH D'!$C$15:$G$58,5,FALSE),"")</f>
        <v/>
      </c>
      <c r="F16" s="26" t="e">
        <f>IF(AND(D16&gt;=5714.29,D16&lt;11428.57),ROUND(E16*0.01,2),IF(AND(D16&gt;=11,428.57,D16&lt;13333.33),ROUND(E16*0.03,2),IF(AND(D16&gt;=13333.33,D16&lt;15238.1),ROUND(E16*0.04,2),IF(AND(D16&gt;=15238.1),ROUND(E16*0.05,2),"-"))))</f>
        <v>#VALUE!</v>
      </c>
    </row>
    <row r="17" spans="1:6" x14ac:dyDescent="0.25">
      <c r="A17" s="205" t="s">
        <v>158</v>
      </c>
      <c r="B17" s="205" t="s">
        <v>211</v>
      </c>
      <c r="C17" s="207" t="s">
        <v>29</v>
      </c>
      <c r="D17" s="223" t="str">
        <f>IFERROR(VLOOKUP($A17,'SCH D'!$C$15:$E$58,3,FALSE),"")</f>
        <v/>
      </c>
      <c r="E17" s="238" t="str">
        <f>IFERROR(VLOOKUP($A17,'SCH D'!$C$15:$G$58,5,FALSE),"")</f>
        <v/>
      </c>
      <c r="F17" s="26" t="e">
        <f>IF(AND(D17&gt;=4761.9,D17&lt;9523.81),ROUND(E17*0.01,2),IF(AND(D17&gt;=9523.81,D17&lt;11111.11),ROUND(E17*0.03,2),IF(AND(D17&gt;=11111.11,D17&lt;12698.41),ROUND(E17*0.04,2),IF(AND(D17&gt;=12698.41),ROUND(E17*0.05,2),"-"))))</f>
        <v>#VALUE!</v>
      </c>
    </row>
    <row r="18" spans="1:6" x14ac:dyDescent="0.25">
      <c r="A18" s="204" t="s">
        <v>159</v>
      </c>
      <c r="B18" s="204" t="s">
        <v>212</v>
      </c>
      <c r="C18" s="206" t="s">
        <v>29</v>
      </c>
      <c r="D18" s="223" t="str">
        <f>IFERROR(VLOOKUP($A18,'SCH D'!$C$15:$E$58,3,FALSE),"")</f>
        <v/>
      </c>
      <c r="E18" s="238" t="str">
        <f>IFERROR(VLOOKUP($A18,'SCH D'!$C$15:$G$58,5,FALSE),"")</f>
        <v/>
      </c>
      <c r="F18" s="26" t="e">
        <f>IF(AND(D18&gt;=14285.71,D18&lt;28571.43),ROUND(E18*0.01,2),IF(AND(D18&gt;=28571.43,D18&lt;33333.33),ROUND(E18*0.03,2),IF(AND(D18&gt;=33333.33,D18&lt;38095.24),ROUND(E18*0.04,2),IF(AND(D18&gt;=38095.24),ROUND(E18*0.05,2),"-"))))</f>
        <v>#VALUE!</v>
      </c>
    </row>
    <row r="19" spans="1:6" x14ac:dyDescent="0.25">
      <c r="A19" s="205" t="s">
        <v>160</v>
      </c>
      <c r="B19" s="205" t="s">
        <v>213</v>
      </c>
      <c r="C19" s="207" t="s">
        <v>29</v>
      </c>
      <c r="D19" s="223" t="str">
        <f>IFERROR(VLOOKUP($A19,'SCH D'!$C$15:$E$58,3,FALSE),"")</f>
        <v/>
      </c>
      <c r="E19" s="238" t="str">
        <f>IFERROR(VLOOKUP($A19,'SCH D'!$C$15:$G$58,5,FALSE),"")</f>
        <v/>
      </c>
      <c r="F19" s="26" t="e">
        <f>IF(AND(D19&gt;=9523.81,D19&lt;19047.62),ROUND(E19*0.01,2),IF(AND(D19&gt;=19047.62,D19&lt;22222.22),ROUND(E19*0.03,2),IF(AND(D19&gt;=22222.22,D19&lt;25396.83),ROUND(E19*0.04,2),IF(AND(D19&gt;=25396.83),ROUND(E19*0.05,2),"-"))))</f>
        <v>#VALUE!</v>
      </c>
    </row>
    <row r="20" spans="1:6" x14ac:dyDescent="0.25">
      <c r="A20" s="204" t="s">
        <v>161</v>
      </c>
      <c r="B20" s="204" t="s">
        <v>214</v>
      </c>
      <c r="C20" s="206" t="s">
        <v>29</v>
      </c>
      <c r="D20" s="223" t="str">
        <f>IFERROR(VLOOKUP($A20,'SCH D'!$C$15:$E$58,3,FALSE),"")</f>
        <v/>
      </c>
      <c r="E20" s="238" t="str">
        <f>IFERROR(VLOOKUP($A20,'SCH D'!$C$15:$G$58,5,FALSE),"")</f>
        <v/>
      </c>
      <c r="F20" s="26" t="e">
        <f>IF(AND(D20&gt;=7142.86,D20&lt;14285.71),ROUND(E20*0.01,2),IF(AND(D20&gt;=14285.71,D20&lt;16666.67),ROUND(E20*0.03,2),IF(AND(D20&gt;=16666.67,D20&lt;19047.62),ROUND(E20*0.04,2),IF(AND(D20&gt;=19047.62),ROUND(E20*0.05,2),"-"))))</f>
        <v>#VALUE!</v>
      </c>
    </row>
    <row r="21" spans="1:6" x14ac:dyDescent="0.25">
      <c r="A21" s="205" t="s">
        <v>162</v>
      </c>
      <c r="B21" s="205" t="s">
        <v>215</v>
      </c>
      <c r="C21" s="207" t="s">
        <v>29</v>
      </c>
      <c r="D21" s="223" t="str">
        <f>IFERROR(VLOOKUP($A21,'SCH D'!$C$15:$E$58,3,FALSE),"")</f>
        <v/>
      </c>
      <c r="E21" s="238" t="str">
        <f>IFERROR(VLOOKUP($A21,'SCH D'!$C$15:$G$58,5,FALSE),"")</f>
        <v/>
      </c>
      <c r="F21" s="26" t="e">
        <f>IF(AND(D21&gt;=5714.29,D21&lt;11428.57),ROUND(E21*0.01,2),IF(AND(D21&gt;=11,428.57,D21&lt;13333.33),ROUND(E21*0.03,2),IF(AND(D21&gt;=13333.33,D21&lt;15238.1),ROUND(E21*0.04,2),IF(AND(D21&gt;=15238.1),ROUND(E21*0.05,2),"-"))))</f>
        <v>#VALUE!</v>
      </c>
    </row>
    <row r="22" spans="1:6" x14ac:dyDescent="0.25">
      <c r="A22" s="204" t="s">
        <v>163</v>
      </c>
      <c r="B22" s="204" t="s">
        <v>216</v>
      </c>
      <c r="C22" s="206" t="s">
        <v>29</v>
      </c>
      <c r="D22" s="223" t="str">
        <f>IFERROR(VLOOKUP($A22,'SCH D'!$C$15:$E$58,3,FALSE),"")</f>
        <v/>
      </c>
      <c r="E22" s="238" t="str">
        <f>IFERROR(VLOOKUP($A22,'SCH D'!$C$15:$G$58,5,FALSE),"")</f>
        <v/>
      </c>
      <c r="F22" s="26" t="e">
        <f>IF(AND(D22&gt;=4761.9,D22&lt;9523.81),ROUND(E22*0.01,2),IF(AND(D22&gt;=9523.81,D22&lt;11111.11),ROUND(E22*0.03,2),IF(AND(D22&gt;=11111.11,D22&lt;12698.41),ROUND(E22*0.04,2),IF(AND(D22&gt;=12698.41),ROUND(E22*0.05,2),"-"))))</f>
        <v>#VALUE!</v>
      </c>
    </row>
    <row r="23" spans="1:6" x14ac:dyDescent="0.25">
      <c r="A23" s="205" t="s">
        <v>164</v>
      </c>
      <c r="B23" s="205" t="s">
        <v>217</v>
      </c>
      <c r="C23" s="207" t="s">
        <v>29</v>
      </c>
      <c r="D23" s="223" t="str">
        <f>IFERROR(VLOOKUP($A23,'SCH D'!$C$15:$E$58,3,FALSE),"")</f>
        <v/>
      </c>
      <c r="E23" s="238" t="str">
        <f>IFERROR(VLOOKUP($A23,'SCH D'!$C$15:$G$58,5,FALSE),"")</f>
        <v/>
      </c>
      <c r="F23" s="26" t="e">
        <f>IF(AND(D23&gt;=28571.43,D23&lt;57142.86),ROUND(E23*0.01,2),IF(AND(D23&gt;=57142.86,D23&lt;66666.67),ROUND(E23*0.03,2),IF(AND(D23&gt;=66666.67,D23&lt;76190.48),ROUND(E23*0.04,2),IF(AND(D23&gt;=76190.48),ROUND(E23*0.05,2),"-"))))</f>
        <v>#VALUE!</v>
      </c>
    </row>
    <row r="24" spans="1:6" x14ac:dyDescent="0.25">
      <c r="A24" s="204" t="s">
        <v>165</v>
      </c>
      <c r="B24" s="204" t="s">
        <v>218</v>
      </c>
      <c r="C24" s="206" t="s">
        <v>29</v>
      </c>
      <c r="D24" s="223" t="str">
        <f>IFERROR(VLOOKUP($A24,'SCH D'!$C$15:$E$58,3,FALSE),"")</f>
        <v/>
      </c>
      <c r="E24" s="238" t="str">
        <f>IFERROR(VLOOKUP($A24,'SCH D'!$C$15:$G$58,5,FALSE),"")</f>
        <v/>
      </c>
      <c r="F24" s="26" t="e">
        <f>IF(AND(D24&gt;=19047.62,D24&lt;38095.24),ROUND(E24*0.01,2),IF(AND(D24&gt;=38095.24,D24&lt;44444.44),ROUND(E24*0.03,2),IF(AND(D24&gt;=44444.44,D24&lt;50793.65),ROUND(E24*0.04,2),IF(AND(D24&gt;=50793.65),ROUND(E24*0.05,2),"-"))))</f>
        <v>#VALUE!</v>
      </c>
    </row>
    <row r="25" spans="1:6" x14ac:dyDescent="0.25">
      <c r="A25" s="205" t="s">
        <v>166</v>
      </c>
      <c r="B25" s="205" t="s">
        <v>219</v>
      </c>
      <c r="C25" s="207" t="s">
        <v>29</v>
      </c>
      <c r="D25" s="223" t="str">
        <f>IFERROR(VLOOKUP($A25,'SCH D'!$C$15:$E$58,3,FALSE),"")</f>
        <v/>
      </c>
      <c r="E25" s="238" t="str">
        <f>IFERROR(VLOOKUP($A25,'SCH D'!$C$15:$G$58,5,FALSE),"")</f>
        <v/>
      </c>
      <c r="F25" s="26" t="e">
        <f>IF(AND(D25&gt;=14285.71,D25&lt;28571.43),ROUND(E25*0.01,2),IF(AND(D25&gt;=28571.43,D25&lt;33333.33),ROUND(E25*0.03,2),IF(AND(D25&gt;=33333.33,D25&lt;38095.24),ROUND(E25*0.04,2),IF(AND(D25&gt;=38095.24),ROUND(E25*0.05,2),"-"))))</f>
        <v>#VALUE!</v>
      </c>
    </row>
    <row r="26" spans="1:6" x14ac:dyDescent="0.25">
      <c r="A26" s="204" t="s">
        <v>167</v>
      </c>
      <c r="B26" s="204" t="s">
        <v>220</v>
      </c>
      <c r="C26" s="206" t="s">
        <v>29</v>
      </c>
      <c r="D26" s="223" t="str">
        <f>IFERROR(VLOOKUP($A26,'SCH D'!$C$15:$E$58,3,FALSE),"")</f>
        <v/>
      </c>
      <c r="E26" s="238" t="str">
        <f>IFERROR(VLOOKUP($A26,'SCH D'!$C$15:$G$58,5,FALSE),"")</f>
        <v/>
      </c>
      <c r="F26" s="26" t="e">
        <f>IF(AND(D26&gt;=11428.57,D26&lt;22857.14),ROUND(E26*0.01,2),IF(AND(D26&gt;=22857.14,D26&lt;26666.67),ROUND(E26*0.03,2),IF(AND(D26&gt;=26666.67,D26&lt;30476.19),ROUND(E26*0.04,2),IF(AND(D26&gt;=30476.19),ROUND(E26*0.05,2),"-"))))</f>
        <v>#VALUE!</v>
      </c>
    </row>
    <row r="27" spans="1:6" x14ac:dyDescent="0.25">
      <c r="A27" s="205" t="s">
        <v>168</v>
      </c>
      <c r="B27" s="205" t="s">
        <v>221</v>
      </c>
      <c r="C27" s="207" t="s">
        <v>29</v>
      </c>
      <c r="D27" s="223" t="str">
        <f>IFERROR(VLOOKUP($A27,'SCH D'!$C$15:$E$58,3,FALSE),"")</f>
        <v/>
      </c>
      <c r="E27" s="238" t="str">
        <f>IFERROR(VLOOKUP($A27,'SCH D'!$C$15:$G$58,5,FALSE),"")</f>
        <v/>
      </c>
      <c r="F27" s="26" t="e">
        <f>IF(AND(D27&gt;=9523.81,D27&lt;19047.62),ROUND(E27*0.01,2),IF(AND(D27&gt;=19047.62,D27&lt;22222.22),ROUND(E27*0.03,2),IF(AND(D27&gt;=22222.22,D27&lt;25396.83),ROUND(E27*0.04,2),IF(AND(D27&gt;=25396.83),ROUND(E27*0.05,2),"-"))))</f>
        <v>#VALUE!</v>
      </c>
    </row>
    <row r="28" spans="1:6" x14ac:dyDescent="0.25">
      <c r="A28" s="204" t="s">
        <v>169</v>
      </c>
      <c r="B28" s="204" t="s">
        <v>222</v>
      </c>
      <c r="C28" s="206" t="s">
        <v>29</v>
      </c>
      <c r="D28" s="223" t="str">
        <f>IFERROR(VLOOKUP($A28,'SCH D'!$C$15:$E$58,3,FALSE),"")</f>
        <v/>
      </c>
      <c r="E28" s="238" t="str">
        <f>IFERROR(VLOOKUP($A28,'SCH D'!$C$15:$G$58,5,FALSE),"")</f>
        <v/>
      </c>
      <c r="F28" s="26" t="e">
        <f>IF(AND(D28&gt;=7142.86,D28&lt;14285.71),ROUND(E28*0.01,2),IF(AND(D28&gt;=14285.71,D28&lt;16666.67),ROUND(E28*0.03,2),IF(AND(D28&gt;=16666.67,D28&lt;19047.62),ROUND(E28*0.04,2),IF(AND(D28&gt;=19047.62),ROUND(E28*0.05,2),"-"))))</f>
        <v>#VALUE!</v>
      </c>
    </row>
    <row r="29" spans="1:6" x14ac:dyDescent="0.25">
      <c r="A29" s="205" t="s">
        <v>170</v>
      </c>
      <c r="B29" s="205" t="s">
        <v>223</v>
      </c>
      <c r="C29" s="207" t="s">
        <v>29</v>
      </c>
      <c r="D29" s="223" t="str">
        <f>IFERROR(VLOOKUP($A29,'SCH D'!$C$15:$E$58,3,FALSE),"")</f>
        <v/>
      </c>
      <c r="E29" s="238" t="str">
        <f>IFERROR(VLOOKUP($A29,'SCH D'!$C$15:$G$58,5,FALSE),"")</f>
        <v/>
      </c>
      <c r="F29" s="26" t="e">
        <f>IF(AND(D29&gt;=6349.21,D29&lt;12698.41),ROUND(E29*0.01,2),IF(AND(D29&gt;=12698.41,D29&lt;14814.81),ROUND(E29*0.03,2),IF(AND(D29&gt;=14814.81,D29&lt;16931.22),ROUND(E29*0.04,2),IF(AND(D29&gt;=16931.22),ROUND(E29*0.05,2),"-"))))</f>
        <v>#VALUE!</v>
      </c>
    </row>
    <row r="30" spans="1:6" x14ac:dyDescent="0.25">
      <c r="A30" s="204" t="s">
        <v>171</v>
      </c>
      <c r="B30" s="204" t="s">
        <v>224</v>
      </c>
      <c r="C30" s="206" t="s">
        <v>29</v>
      </c>
      <c r="D30" s="223" t="str">
        <f>IFERROR(VLOOKUP($A30,'SCH D'!$C$15:$E$58,3,FALSE),"")</f>
        <v/>
      </c>
      <c r="E30" s="238" t="str">
        <f>IFERROR(VLOOKUP($A30,'SCH D'!$C$15:$G$58,5,FALSE),"")</f>
        <v/>
      </c>
      <c r="F30" s="26" t="e">
        <f>IF(AND(D30&gt;=5714.29,D30&lt;11428.57),ROUND(E30*0.01,2),IF(AND(D30&gt;=11,428.57,D30&lt;13333.33),ROUND(E30*0.03,2),IF(AND(D30&gt;=13333.33,D30&lt;15238.1),ROUND(E30*0.04,2),IF(AND(D30&gt;=15238.1),ROUND(E30*0.05,2),"-"))))</f>
        <v>#VALUE!</v>
      </c>
    </row>
    <row r="31" spans="1:6" x14ac:dyDescent="0.25">
      <c r="A31" s="205" t="s">
        <v>172</v>
      </c>
      <c r="B31" s="205" t="s">
        <v>225</v>
      </c>
      <c r="C31" s="207" t="s">
        <v>29</v>
      </c>
      <c r="D31" s="223" t="str">
        <f>IFERROR(VLOOKUP($A31,'SCH D'!$C$15:$E$58,3,FALSE),"")</f>
        <v/>
      </c>
      <c r="E31" s="238" t="str">
        <f>IFERROR(VLOOKUP($A31,'SCH D'!$C$15:$G$58,5,FALSE),"")</f>
        <v/>
      </c>
      <c r="F31" s="26" t="e">
        <f>IF(AND(D31&gt;=4761.9,D31&lt;9523.81),ROUND(E31*0.01,2),IF(AND(D31&gt;=9523.81,D31&lt;11111.11),ROUND(E31*0.03,2),IF(AND(D31&gt;=11111.11,D31&lt;12698.41),ROUND(E31*0.04,2),IF(AND(D31&gt;=12698.41),ROUND(E31*0.05,2),"-"))))</f>
        <v>#VALUE!</v>
      </c>
    </row>
    <row r="32" spans="1:6" x14ac:dyDescent="0.25">
      <c r="A32" s="204" t="s">
        <v>173</v>
      </c>
      <c r="B32" s="204" t="s">
        <v>226</v>
      </c>
      <c r="C32" s="206" t="s">
        <v>29</v>
      </c>
      <c r="D32" s="223" t="str">
        <f>IFERROR(VLOOKUP($A32,'SCH D'!$C$15:$E$58,3,FALSE),"")</f>
        <v/>
      </c>
      <c r="E32" s="238" t="str">
        <f>IFERROR(VLOOKUP($A32,'SCH D'!$C$15:$G$58,5,FALSE),"")</f>
        <v/>
      </c>
      <c r="F32" s="26" t="e">
        <f>IF(AND(D32&gt;=3571.43,D32&lt;7142.86),ROUND(E32*0.01,2),IF(AND(D32&gt;=7142.86,D32&lt;8333.34),ROUND(E32*0.03,2),IF(AND(D32&gt;=8333.34,D32&lt;9523.81),ROUND(E32*0.04,2),IF(AND(D32&gt;=9523.81),ROUND(E32*0.05,2),"-"))))</f>
        <v>#VALUE!</v>
      </c>
    </row>
    <row r="33" spans="1:6" x14ac:dyDescent="0.25">
      <c r="A33" s="205" t="s">
        <v>174</v>
      </c>
      <c r="B33" s="205" t="s">
        <v>196</v>
      </c>
      <c r="C33" s="207" t="s">
        <v>227</v>
      </c>
      <c r="D33" s="223" t="str">
        <f>IFERROR(VLOOKUP($A33,'SCH D'!$C$15:$E$58,3,FALSE),"")</f>
        <v/>
      </c>
      <c r="E33" s="238" t="str">
        <f>IFERROR(VLOOKUP($A33,'SCH D'!$C$15:$G$58,5,FALSE),"")</f>
        <v/>
      </c>
      <c r="F33" s="26" t="e">
        <f>IF(AND(D33&gt;=1587.3,D33&lt;3174.6),ROUND(E33*0.01,2),IF(AND(D33&gt;=3174.6,D33&lt;3703.7),ROUND(E33*0.03,2),IF(AND(D33&gt;=3703.7,D33&lt;4232.8),ROUND(E33*0.04,2),IF(AND(D33&gt;=4232.8),ROUND(E33*0.05,2),"-"))))</f>
        <v>#VALUE!</v>
      </c>
    </row>
    <row r="34" spans="1:6" x14ac:dyDescent="0.25">
      <c r="A34" s="204" t="s">
        <v>175</v>
      </c>
      <c r="B34" s="204" t="s">
        <v>198</v>
      </c>
      <c r="C34" s="206" t="s">
        <v>227</v>
      </c>
      <c r="D34" s="223" t="str">
        <f>IFERROR(VLOOKUP($A34,'SCH D'!$C$15:$E$58,3,FALSE),"")</f>
        <v/>
      </c>
      <c r="E34" s="238" t="str">
        <f>IFERROR(VLOOKUP($A34,'SCH D'!$C$15:$G$58,5,FALSE),"")</f>
        <v/>
      </c>
      <c r="F34" s="26" t="e">
        <f>IF(AND(D34&gt;=1587.3,D34&lt;3174.6),ROUND(E34*0.01,2),IF(AND(D34&gt;=3174.6,D34&lt;3703.7),ROUND(E34*0.03,2),IF(AND(D34&gt;=3703.7,D34&lt;4232.8),ROUND(E34*0.04,2),IF(AND(D34&gt;=4232.8),ROUND(E34*0.05,2),"-"))))</f>
        <v>#VALUE!</v>
      </c>
    </row>
    <row r="35" spans="1:6" x14ac:dyDescent="0.25">
      <c r="A35" s="205" t="s">
        <v>176</v>
      </c>
      <c r="B35" s="205" t="s">
        <v>199</v>
      </c>
      <c r="C35" s="207" t="s">
        <v>227</v>
      </c>
      <c r="D35" s="223" t="str">
        <f>IFERROR(VLOOKUP($A35,'SCH D'!$C$15:$E$58,3,FALSE),"")</f>
        <v/>
      </c>
      <c r="E35" s="238" t="str">
        <f>IFERROR(VLOOKUP($A35,'SCH D'!$C$15:$G$58,5,FALSE),"")</f>
        <v/>
      </c>
      <c r="F35" s="26" t="e">
        <f t="shared" ref="F35:F37" si="1">IF(AND(D35&gt;=1587.3,D35&lt;3174.6),ROUND(E35*0.01,2),IF(AND(D35&gt;=3174.6,D35&lt;3703.7),ROUND(E35*0.03,2),IF(AND(D35&gt;=3703.7,D35&lt;4232.8),ROUND(E35*0.04,2),IF(AND(D35&gt;=4232.8),ROUND(E35*0.05,2),"-"))))</f>
        <v>#VALUE!</v>
      </c>
    </row>
    <row r="36" spans="1:6" x14ac:dyDescent="0.25">
      <c r="A36" s="204" t="s">
        <v>177</v>
      </c>
      <c r="B36" s="204" t="s">
        <v>200</v>
      </c>
      <c r="C36" s="206" t="s">
        <v>227</v>
      </c>
      <c r="D36" s="223" t="str">
        <f>IFERROR(VLOOKUP($A36,'SCH D'!$C$15:$E$58,3,FALSE),"")</f>
        <v/>
      </c>
      <c r="E36" s="238" t="str">
        <f>IFERROR(VLOOKUP($A36,'SCH D'!$C$15:$G$58,5,FALSE),"")</f>
        <v/>
      </c>
      <c r="F36" s="26" t="e">
        <f t="shared" si="1"/>
        <v>#VALUE!</v>
      </c>
    </row>
    <row r="37" spans="1:6" x14ac:dyDescent="0.25">
      <c r="A37" s="205" t="s">
        <v>141</v>
      </c>
      <c r="B37" s="205" t="s">
        <v>201</v>
      </c>
      <c r="C37" s="207" t="s">
        <v>227</v>
      </c>
      <c r="D37" s="223" t="str">
        <f>IFERROR(VLOOKUP($A37,'SCH D'!$C$15:$E$58,3,FALSE),"")</f>
        <v/>
      </c>
      <c r="E37" s="238" t="str">
        <f>IFERROR(VLOOKUP($A37,'SCH D'!$C$15:$G$58,5,FALSE),"")</f>
        <v/>
      </c>
      <c r="F37" s="26" t="e">
        <f t="shared" si="1"/>
        <v>#VALUE!</v>
      </c>
    </row>
    <row r="38" spans="1:6" x14ac:dyDescent="0.25">
      <c r="A38" s="204" t="s">
        <v>178</v>
      </c>
      <c r="B38" s="204" t="s">
        <v>228</v>
      </c>
      <c r="C38" s="206" t="s">
        <v>197</v>
      </c>
      <c r="D38" s="223" t="str">
        <f>IFERROR(VLOOKUP($A38,'SCH D'!$C$15:$E$58,3,FALSE),"")</f>
        <v/>
      </c>
      <c r="E38" s="238" t="str">
        <f>IFERROR(VLOOKUP($A38,'SCH D'!$C$15:$G$58,5,FALSE),"")</f>
        <v/>
      </c>
      <c r="F38" s="26" t="e">
        <f t="shared" ref="F38:F40" si="2">IF(AND(D38&gt;=3000,D38&lt;6000),ROUND(E38*0.01,2),IF(AND(D38&gt;=6000,D38&lt;7000),ROUND(E38*0.03,2),IF(AND(D38&gt;=7000,D38&lt;8000),ROUND(E38*0.04,2),IF(AND(D38&gt;=8000),ROUND(E38*0.05,2),"-"))))</f>
        <v>#VALUE!</v>
      </c>
    </row>
    <row r="39" spans="1:6" x14ac:dyDescent="0.25">
      <c r="A39" s="205" t="s">
        <v>179</v>
      </c>
      <c r="B39" s="205" t="s">
        <v>229</v>
      </c>
      <c r="C39" s="207" t="s">
        <v>197</v>
      </c>
      <c r="D39" s="223" t="str">
        <f>IFERROR(VLOOKUP($A39,'SCH D'!$C$15:$E$58,3,FALSE),"")</f>
        <v/>
      </c>
      <c r="E39" s="238" t="str">
        <f>IFERROR(VLOOKUP($A39,'SCH D'!$C$15:$G$58,5,FALSE),"")</f>
        <v/>
      </c>
      <c r="F39" s="26" t="e">
        <f t="shared" si="2"/>
        <v>#VALUE!</v>
      </c>
    </row>
    <row r="40" spans="1:6" x14ac:dyDescent="0.25">
      <c r="A40" s="204" t="s">
        <v>180</v>
      </c>
      <c r="B40" s="204" t="s">
        <v>230</v>
      </c>
      <c r="C40" s="206" t="s">
        <v>197</v>
      </c>
      <c r="D40" s="223" t="str">
        <f>IFERROR(VLOOKUP($A40,'SCH D'!$C$15:$E$58,3,FALSE),"")</f>
        <v/>
      </c>
      <c r="E40" s="238" t="str">
        <f>IFERROR(VLOOKUP($A40,'SCH D'!$C$15:$G$58,5,FALSE),"")</f>
        <v/>
      </c>
      <c r="F40" s="26" t="e">
        <f t="shared" si="2"/>
        <v>#VALUE!</v>
      </c>
    </row>
    <row r="41" spans="1:6" x14ac:dyDescent="0.25">
      <c r="A41" s="205" t="s">
        <v>181</v>
      </c>
      <c r="B41" s="205" t="s">
        <v>231</v>
      </c>
      <c r="C41" s="207" t="s">
        <v>29</v>
      </c>
      <c r="D41" s="223" t="str">
        <f>IFERROR(VLOOKUP($A41,'SCH D'!$C$15:$E$58,3,FALSE),"")</f>
        <v/>
      </c>
      <c r="E41" s="238" t="str">
        <f>IFERROR(VLOOKUP($A41,'SCH D'!$C$15:$G$58,5,FALSE),"")</f>
        <v/>
      </c>
      <c r="F41" s="26" t="e">
        <f>IF(AND(D41&gt;=14285.71,D41&lt;28571.43),ROUND(E41*0.01,2),IF(AND(D41&gt;=28571.43,D41&lt;33333.33),ROUND(E41*0.03,2),IF(AND(D41&gt;=33333.33,D41&lt;38095.24),ROUND(E41*0.04,2),IF(AND(D41&gt;=38095.24),ROUND(E41*0.05,2),"-"))))</f>
        <v>#VALUE!</v>
      </c>
    </row>
    <row r="42" spans="1:6" x14ac:dyDescent="0.25">
      <c r="A42" s="204" t="s">
        <v>182</v>
      </c>
      <c r="B42" s="204" t="s">
        <v>232</v>
      </c>
      <c r="C42" s="206" t="s">
        <v>29</v>
      </c>
      <c r="D42" s="223" t="str">
        <f>IFERROR(VLOOKUP($A42,'SCH D'!$C$15:$E$58,3,FALSE),"")</f>
        <v/>
      </c>
      <c r="E42" s="238" t="str">
        <f>IFERROR(VLOOKUP($A42,'SCH D'!$C$15:$G$58,5,FALSE),"")</f>
        <v/>
      </c>
      <c r="F42" s="26" t="e">
        <f>IF(AND(D42&gt;=9523.81,D42&lt;19047.62),ROUND(E42*0.01,2),IF(AND(D42&gt;=19047.62,D42&lt;22222.22),ROUND(E42*0.03,2),IF(AND(D42&gt;=22222.22,D42&lt;25396.83),ROUND(E42*0.04,2),IF(AND(D42&gt;=25396.83),ROUND(E42*0.05,2),"-"))))</f>
        <v>#VALUE!</v>
      </c>
    </row>
    <row r="43" spans="1:6" x14ac:dyDescent="0.25">
      <c r="A43" s="205" t="s">
        <v>183</v>
      </c>
      <c r="B43" s="205" t="s">
        <v>233</v>
      </c>
      <c r="C43" s="207" t="s">
        <v>29</v>
      </c>
      <c r="D43" s="223" t="str">
        <f>IFERROR(VLOOKUP($A43,'SCH D'!$C$15:$E$58,3,FALSE),"")</f>
        <v/>
      </c>
      <c r="E43" s="238" t="str">
        <f>IFERROR(VLOOKUP($A43,'SCH D'!$C$15:$G$58,5,FALSE),"")</f>
        <v/>
      </c>
      <c r="F43" s="26" t="e">
        <f>IF(AND(D43&gt;=7142.86,D43&lt;14285.71),ROUND(E43*0.01,2),IF(AND(D43&gt;=14285.71,D43&lt;16666.67),ROUND(E43*0.03,2),IF(AND(D43&gt;=16666.67,D43&lt;19047.62),ROUND(E43*0.04,2),IF(AND(D43&gt;=19047.62),ROUND(E43*0.05,2),"-"))))</f>
        <v>#VALUE!</v>
      </c>
    </row>
    <row r="44" spans="1:6" x14ac:dyDescent="0.25">
      <c r="A44" s="204" t="s">
        <v>184</v>
      </c>
      <c r="B44" s="204" t="s">
        <v>234</v>
      </c>
      <c r="C44" s="206" t="s">
        <v>29</v>
      </c>
      <c r="D44" s="223" t="str">
        <f>IFERROR(VLOOKUP($A44,'SCH D'!$C$15:$E$58,3,FALSE),"")</f>
        <v/>
      </c>
      <c r="E44" s="238" t="str">
        <f>IFERROR(VLOOKUP($A44,'SCH D'!$C$15:$G$58,5,FALSE),"")</f>
        <v/>
      </c>
      <c r="F44" s="26" t="e">
        <f>IF(AND(D44&gt;=5714.29,D44&lt;11428.57),ROUND(E44*0.01,2),IF(AND(D44&gt;=11,428.57,D44&lt;13333.33),ROUND(E44*0.03,2),IF(AND(D44&gt;=13333.33,D44&lt;15238.1),ROUND(E44*0.04,2),IF(AND(D44&gt;=15238.1),ROUND(E44*0.05,2),"-"))))</f>
        <v>#VALUE!</v>
      </c>
    </row>
    <row r="45" spans="1:6" x14ac:dyDescent="0.25">
      <c r="A45" s="205" t="s">
        <v>185</v>
      </c>
      <c r="B45" s="205" t="s">
        <v>235</v>
      </c>
      <c r="C45" s="207" t="s">
        <v>29</v>
      </c>
      <c r="D45" s="223" t="str">
        <f>IFERROR(VLOOKUP($A45,'SCH D'!$C$15:$E$58,3,FALSE),"")</f>
        <v/>
      </c>
      <c r="E45" s="238" t="str">
        <f>IFERROR(VLOOKUP($A45,'SCH D'!$C$15:$G$58,5,FALSE),"")</f>
        <v/>
      </c>
      <c r="F45" s="26" t="e">
        <f>IF(AND(D45&gt;=4761.9,D45&lt;9523.81),ROUND(E45*0.01,2),IF(AND(D45&gt;=9523.81,D45&lt;11111.11),ROUND(E45*0.03,2),IF(AND(D45&gt;=11111.11,D45&lt;12698.41),ROUND(E45*0.04,2),IF(AND(D45&gt;=12698.41),ROUND(E45*0.05,2),"-"))))</f>
        <v>#VALUE!</v>
      </c>
    </row>
    <row r="46" spans="1:6" x14ac:dyDescent="0.25">
      <c r="A46" s="204" t="s">
        <v>186</v>
      </c>
      <c r="B46" s="204" t="s">
        <v>236</v>
      </c>
      <c r="C46" s="206" t="s">
        <v>29</v>
      </c>
      <c r="D46" s="223" t="str">
        <f>IFERROR(VLOOKUP($A46,'SCH D'!$C$15:$E$58,3,FALSE),"")</f>
        <v/>
      </c>
      <c r="E46" s="238" t="str">
        <f>IFERROR(VLOOKUP($A46,'SCH D'!$C$15:$G$58,5,FALSE),"")</f>
        <v/>
      </c>
      <c r="F46" s="26" t="e">
        <f>IF(AND(D46&gt;=14285.71,D46&lt;28571.43),ROUND(E46*0.01,2),IF(AND(D46&gt;=28571.43,D46&lt;33333.33),ROUND(E46*0.03,2),IF(AND(D46&gt;=33333.33,D46&lt;38095.24),ROUND(E46*0.04,2),IF(AND(D46&gt;=38095.24),ROUND(E46*0.05,2),"-"))))</f>
        <v>#VALUE!</v>
      </c>
    </row>
    <row r="47" spans="1:6" x14ac:dyDescent="0.25">
      <c r="A47" s="205" t="s">
        <v>187</v>
      </c>
      <c r="B47" s="205" t="s">
        <v>237</v>
      </c>
      <c r="C47" s="207" t="s">
        <v>29</v>
      </c>
      <c r="D47" s="223" t="str">
        <f>IFERROR(VLOOKUP($A47,'SCH D'!$C$15:$E$58,3,FALSE),"")</f>
        <v/>
      </c>
      <c r="E47" s="238" t="str">
        <f>IFERROR(VLOOKUP($A47,'SCH D'!$C$15:$G$58,5,FALSE),"")</f>
        <v/>
      </c>
      <c r="F47" s="26" t="e">
        <f>IF(AND(D47&gt;=9523.81,D47&lt;19047.62),ROUND(E47*0.01,2),IF(AND(D47&gt;=19047.62,D47&lt;22222.22),ROUND(E47*0.03,2),IF(AND(D47&gt;=22222.22,D47&lt;25396.83),ROUND(E47*0.04,2),IF(AND(D47&gt;=25396.83),ROUND(E47*0.05,2),"-"))))</f>
        <v>#VALUE!</v>
      </c>
    </row>
    <row r="48" spans="1:6" x14ac:dyDescent="0.25">
      <c r="A48" s="204" t="s">
        <v>188</v>
      </c>
      <c r="B48" s="204" t="s">
        <v>238</v>
      </c>
      <c r="C48" s="206" t="s">
        <v>29</v>
      </c>
      <c r="D48" s="223" t="str">
        <f>IFERROR(VLOOKUP($A48,'SCH D'!$C$15:$E$58,3,FALSE),"")</f>
        <v/>
      </c>
      <c r="E48" s="238" t="str">
        <f>IFERROR(VLOOKUP($A48,'SCH D'!$C$15:$G$58,5,FALSE),"")</f>
        <v/>
      </c>
      <c r="F48" s="26" t="e">
        <f>IF(AND(D48&gt;=7142.86,D48&lt;14285.71),ROUND(E48*0.01,2),IF(AND(D48&gt;=14285.71,D48&lt;16666.67),ROUND(E48*0.03,2),IF(AND(D48&gt;=16666.67,D48&lt;19047.62),ROUND(E48*0.04,2),IF(AND(D48&gt;=19047.62),ROUND(E48*0.05,2),"-"))))</f>
        <v>#VALUE!</v>
      </c>
    </row>
    <row r="49" spans="1:6" x14ac:dyDescent="0.25">
      <c r="A49" s="205" t="s">
        <v>189</v>
      </c>
      <c r="B49" s="205" t="s">
        <v>239</v>
      </c>
      <c r="C49" s="207" t="s">
        <v>29</v>
      </c>
      <c r="D49" s="223" t="str">
        <f>IFERROR(VLOOKUP($A49,'SCH D'!$C$15:$E$58,3,FALSE),"")</f>
        <v/>
      </c>
      <c r="E49" s="238" t="str">
        <f>IFERROR(VLOOKUP($A49,'SCH D'!$C$15:$G$58,5,FALSE),"")</f>
        <v/>
      </c>
      <c r="F49" s="26" t="e">
        <f>IF(AND(D49&gt;=5714.29,D49&lt;11428.57),ROUND(E49*0.01,2),IF(AND(D49&gt;=11,428.57,D49&lt;13333.33),ROUND(E49*0.03,2),IF(AND(D49&gt;=13333.33,D49&lt;15238.1),ROUND(E49*0.04,2),IF(AND(D49&gt;=15238.1),ROUND(E49*0.05,2),"-"))))</f>
        <v>#VALUE!</v>
      </c>
    </row>
    <row r="50" spans="1:6" x14ac:dyDescent="0.25">
      <c r="A50" s="204" t="s">
        <v>190</v>
      </c>
      <c r="B50" s="204" t="s">
        <v>240</v>
      </c>
      <c r="C50" s="206" t="s">
        <v>29</v>
      </c>
      <c r="D50" s="223" t="str">
        <f>IFERROR(VLOOKUP($A50,'SCH D'!$C$15:$E$58,3,FALSE),"")</f>
        <v/>
      </c>
      <c r="E50" s="238" t="str">
        <f>IFERROR(VLOOKUP($A50,'SCH D'!$C$15:$G$58,5,FALSE),"")</f>
        <v/>
      </c>
      <c r="F50" s="26" t="e">
        <f>IF(AND(D50&gt;=4761.9,D50&lt;9523.81),ROUND(E50*0.01,2),IF(AND(D50&gt;=9523.81,D50&lt;11111.11),ROUND(E50*0.03,2),IF(AND(D50&gt;=11111.11,D50&lt;12698.41),ROUND(E50*0.04,2),IF(AND(D50&gt;=12698.41),ROUND(E50*0.05,2),"-"))))</f>
        <v>#VALUE!</v>
      </c>
    </row>
    <row r="51" spans="1:6" x14ac:dyDescent="0.25">
      <c r="A51" s="205" t="s">
        <v>191</v>
      </c>
      <c r="B51" s="205" t="s">
        <v>228</v>
      </c>
      <c r="C51" s="207" t="s">
        <v>227</v>
      </c>
      <c r="D51" s="223" t="str">
        <f>IFERROR(VLOOKUP($A51,'SCH D'!$C$15:$E$58,3,FALSE),"")</f>
        <v/>
      </c>
      <c r="E51" s="238" t="str">
        <f>IFERROR(VLOOKUP($A51,'SCH D'!$C$15:$G$58,5,FALSE),"")</f>
        <v/>
      </c>
      <c r="F51" s="26" t="e">
        <f t="shared" ref="F51:F53" si="3">IF(AND(D51&gt;=1587.3,D51&lt;3174.6),ROUND(E51*0.01,2),IF(AND(D51&gt;=3174.6,D51&lt;3703.7),ROUND(E51*0.03,2),IF(AND(D51&gt;=3703.7,D51&lt;4232.8),ROUND(E51*0.04,2),IF(AND(D51&gt;=4232.8),ROUND(E51*0.05,2),"-"))))</f>
        <v>#VALUE!</v>
      </c>
    </row>
    <row r="52" spans="1:6" x14ac:dyDescent="0.25">
      <c r="A52" s="204" t="s">
        <v>192</v>
      </c>
      <c r="B52" s="204" t="s">
        <v>229</v>
      </c>
      <c r="C52" s="206" t="s">
        <v>227</v>
      </c>
      <c r="D52" s="223" t="str">
        <f>IFERROR(VLOOKUP($A52,'SCH D'!$C$15:$E$58,3,FALSE),"")</f>
        <v/>
      </c>
      <c r="E52" s="238" t="str">
        <f>IFERROR(VLOOKUP($A52,'SCH D'!$C$15:$G$58,5,FALSE),"")</f>
        <v/>
      </c>
      <c r="F52" s="26" t="e">
        <f t="shared" si="3"/>
        <v>#VALUE!</v>
      </c>
    </row>
    <row r="53" spans="1:6" x14ac:dyDescent="0.25">
      <c r="A53" s="205" t="s">
        <v>193</v>
      </c>
      <c r="B53" s="205" t="s">
        <v>230</v>
      </c>
      <c r="C53" s="207" t="s">
        <v>227</v>
      </c>
      <c r="D53" s="223" t="str">
        <f>IFERROR(VLOOKUP($A53,'SCH D'!$C$15:$E$58,3,FALSE),"")</f>
        <v/>
      </c>
      <c r="E53" s="238" t="str">
        <f>IFERROR(VLOOKUP($A53,'SCH D'!$C$15:$G$58,5,FALSE),"")</f>
        <v/>
      </c>
      <c r="F53" s="26" t="e">
        <f t="shared" si="3"/>
        <v>#VALUE!</v>
      </c>
    </row>
    <row r="54" spans="1:6" x14ac:dyDescent="0.25">
      <c r="A54" s="204" t="s">
        <v>194</v>
      </c>
      <c r="B54" s="204" t="s">
        <v>241</v>
      </c>
      <c r="C54" s="206" t="s">
        <v>197</v>
      </c>
      <c r="D54" s="223" t="str">
        <f>IFERROR(VLOOKUP($A54,'SCH D'!$C$15:$E$58,3,FALSE),"")</f>
        <v/>
      </c>
      <c r="E54" s="238" t="str">
        <f>IFERROR(VLOOKUP($A54,'SCH D'!$C$15:$G$58,5,FALSE),"")</f>
        <v/>
      </c>
      <c r="F54" s="26" t="e">
        <f>IF(AND(D54&gt;=3000,D54&lt;6000),ROUND(E54*0.01,2),IF(AND(D54&gt;=6000,D54&lt;7000),ROUND(E54*0.03,2),IF(AND(D54&gt;=7000,D54&lt;8000),ROUND(E54*0.04,2),IF(AND(D54&gt;=8000),ROUND(E54*0.05,2),"-"))))</f>
        <v>#VALUE!</v>
      </c>
    </row>
    <row r="55" spans="1:6" x14ac:dyDescent="0.25">
      <c r="A55" s="247" t="s">
        <v>362</v>
      </c>
      <c r="B55" s="249" t="s">
        <v>365</v>
      </c>
      <c r="C55" s="206" t="s">
        <v>197</v>
      </c>
      <c r="D55" s="223" t="str">
        <f>IFERROR(VLOOKUP($A55,'SCH D'!$C$15:$E$58,3,FALSE),"")</f>
        <v/>
      </c>
      <c r="E55" s="238" t="str">
        <f>IFERROR(VLOOKUP($A55,'SCH D'!$C$15:$G$58,5,FALSE),"")</f>
        <v/>
      </c>
      <c r="F55" s="26" t="e">
        <f t="shared" ref="F55:F57" si="4">IF(AND(D55&gt;=3000,D55&lt;6000),ROUND(E55*0.01,2),IF(AND(D55&gt;=6000,D55&lt;7000),ROUND(E55*0.03,2),IF(AND(D55&gt;=7000,D55&lt;8000),ROUND(E55*0.04,2),IF(AND(D55&gt;=8000),ROUND(E55*0.05,2),"-"))))</f>
        <v>#VALUE!</v>
      </c>
    </row>
    <row r="56" spans="1:6" x14ac:dyDescent="0.25">
      <c r="A56" s="248" t="s">
        <v>363</v>
      </c>
      <c r="B56" s="250" t="s">
        <v>366</v>
      </c>
      <c r="C56" s="206" t="s">
        <v>197</v>
      </c>
      <c r="D56" s="223" t="str">
        <f>IFERROR(VLOOKUP($A56,'SCH D'!$C$15:$E$58,3,FALSE),"")</f>
        <v/>
      </c>
      <c r="E56" s="238" t="str">
        <f>IFERROR(VLOOKUP($A56,'SCH D'!$C$15:$G$58,5,FALSE),"")</f>
        <v/>
      </c>
      <c r="F56" s="26" t="e">
        <f t="shared" si="4"/>
        <v>#VALUE!</v>
      </c>
    </row>
    <row r="57" spans="1:6" x14ac:dyDescent="0.25">
      <c r="A57" s="247" t="s">
        <v>364</v>
      </c>
      <c r="B57" s="249" t="s">
        <v>367</v>
      </c>
      <c r="C57" s="206" t="s">
        <v>197</v>
      </c>
      <c r="D57" s="223" t="str">
        <f>IFERROR(VLOOKUP($A57,'SCH D'!$C$15:$E$58,3,FALSE),"")</f>
        <v/>
      </c>
      <c r="E57" s="238" t="str">
        <f>IFERROR(VLOOKUP($A57,'SCH D'!$C$15:$G$58,5,FALSE),"")</f>
        <v/>
      </c>
      <c r="F57" s="26" t="e">
        <f t="shared" si="4"/>
        <v>#VALUE!</v>
      </c>
    </row>
    <row r="58" spans="1:6" x14ac:dyDescent="0.25">
      <c r="A58" s="248" t="s">
        <v>368</v>
      </c>
      <c r="B58" s="250" t="s">
        <v>241</v>
      </c>
      <c r="C58" s="250" t="s">
        <v>29</v>
      </c>
      <c r="D58" s="223" t="str">
        <f>IFERROR(VLOOKUP($A58,'SCH D'!$C$15:$E$58,3,FALSE),"")</f>
        <v/>
      </c>
      <c r="E58" s="238" t="str">
        <f>IFERROR(VLOOKUP($A58,'SCH D'!$C$15:$G$58,5,FALSE),"")</f>
        <v/>
      </c>
      <c r="F58" s="26"/>
    </row>
    <row r="59" spans="1:6" x14ac:dyDescent="0.25">
      <c r="A59" s="247" t="s">
        <v>369</v>
      </c>
      <c r="B59" s="249" t="s">
        <v>386</v>
      </c>
      <c r="C59" s="249" t="s">
        <v>29</v>
      </c>
      <c r="D59" s="223" t="str">
        <f>IFERROR(VLOOKUP($A59,'SCH D'!$C$15:$E$58,3,FALSE),"")</f>
        <v/>
      </c>
      <c r="E59" s="238" t="str">
        <f>IFERROR(VLOOKUP($A59,'SCH D'!$C$15:$G$58,5,FALSE),"")</f>
        <v/>
      </c>
      <c r="F59" s="26" t="e">
        <f>IF(AND(D59&gt;=14285.71,D59&lt;28571.43),ROUND(E59*0.01,2),IF(AND(D59&gt;=28571.43,D59&lt;33333.33),ROUND(E59*0.03,2),IF(AND(D59&gt;=33333.33,D59&lt;38095.24),ROUND(E59*0.04,2),IF(AND(D59&gt;=38095.24),ROUND(E59*0.05,2),"-"))))</f>
        <v>#VALUE!</v>
      </c>
    </row>
    <row r="60" spans="1:6" x14ac:dyDescent="0.25">
      <c r="A60" s="248" t="s">
        <v>370</v>
      </c>
      <c r="B60" s="250" t="s">
        <v>387</v>
      </c>
      <c r="C60" s="250" t="s">
        <v>29</v>
      </c>
      <c r="D60" s="223" t="str">
        <f>IFERROR(VLOOKUP($A60,'SCH D'!$C$15:$E$58,3,FALSE),"")</f>
        <v/>
      </c>
      <c r="E60" s="238" t="str">
        <f>IFERROR(VLOOKUP($A60,'SCH D'!$C$15:$G$58,5,FALSE),"")</f>
        <v/>
      </c>
      <c r="F60" s="26" t="e">
        <f>IF(AND(D60&gt;=9523.81,D60&lt;19047.62),ROUND(E60*0.01,2),IF(AND(D60&gt;=19047.62,D60&lt;22222.22),ROUND(E60*0.03,2),IF(AND(D60&gt;=22222.22,D60&lt;25396.83),ROUND(E60*0.04,2),IF(AND(D60&gt;=25396.83),ROUND(E60*0.05,2),"-"))))</f>
        <v>#VALUE!</v>
      </c>
    </row>
    <row r="61" spans="1:6" x14ac:dyDescent="0.25">
      <c r="A61" s="247" t="s">
        <v>371</v>
      </c>
      <c r="B61" s="249" t="s">
        <v>388</v>
      </c>
      <c r="C61" s="249" t="s">
        <v>29</v>
      </c>
      <c r="D61" s="223" t="str">
        <f>IFERROR(VLOOKUP($A61,'SCH D'!$C$15:$E$58,3,FALSE),"")</f>
        <v/>
      </c>
      <c r="E61" s="238" t="str">
        <f>IFERROR(VLOOKUP($A61,'SCH D'!$C$15:$G$58,5,FALSE),"")</f>
        <v/>
      </c>
      <c r="F61" s="26" t="e">
        <f>IF(AND(D61&gt;=7142.86,D61&lt;14285.71),ROUND(E61*0.01,2),IF(AND(D61&gt;=14285.71,D61&lt;16666.67),ROUND(E61*0.03,2),IF(AND(D61&gt;=16666.67,D61&lt;19047.62),ROUND(E61*0.04,2),IF(AND(D61&gt;=19047.62),ROUND(E61*0.05,2),"-"))))</f>
        <v>#VALUE!</v>
      </c>
    </row>
    <row r="62" spans="1:6" x14ac:dyDescent="0.25">
      <c r="A62" s="248" t="s">
        <v>372</v>
      </c>
      <c r="B62" s="250" t="s">
        <v>389</v>
      </c>
      <c r="C62" s="250" t="s">
        <v>29</v>
      </c>
      <c r="D62" s="223" t="str">
        <f>IFERROR(VLOOKUP($A62,'SCH D'!$C$15:$E$58,3,FALSE),"")</f>
        <v/>
      </c>
      <c r="E62" s="238" t="str">
        <f>IFERROR(VLOOKUP($A62,'SCH D'!$C$15:$G$58,5,FALSE),"")</f>
        <v/>
      </c>
      <c r="F62" s="26" t="e">
        <f>IF(AND(D62&gt;=5714.29,D62&lt;11428.57),ROUND(E62*0.01,2),IF(AND(D62&gt;=11,428.57,D62&lt;13333.33),ROUND(E62*0.03,2),IF(AND(D62&gt;=13333.33,D62&lt;15238.1),ROUND(E62*0.04,2),IF(AND(D62&gt;=15238.1),ROUND(E62*0.05,2),"-"))))</f>
        <v>#VALUE!</v>
      </c>
    </row>
    <row r="63" spans="1:6" x14ac:dyDescent="0.25">
      <c r="A63" s="247" t="s">
        <v>373</v>
      </c>
      <c r="B63" s="249" t="s">
        <v>390</v>
      </c>
      <c r="C63" s="249" t="s">
        <v>29</v>
      </c>
      <c r="D63" s="223" t="str">
        <f>IFERROR(VLOOKUP($A63,'SCH D'!$C$15:$E$58,3,FALSE),"")</f>
        <v/>
      </c>
      <c r="E63" s="238" t="str">
        <f>IFERROR(VLOOKUP($A63,'SCH D'!$C$15:$G$58,5,FALSE),"")</f>
        <v/>
      </c>
      <c r="F63" s="26" t="e">
        <f>IF(AND(D63&gt;=4761.9,D63&lt;9523.81),ROUND(E63*0.01,2),IF(AND(D63&gt;=9523.81,D63&lt;11111.11),ROUND(E63*0.03,2),IF(AND(D63&gt;=11111.11,D63&lt;12698.41),ROUND(E63*0.04,2),IF(AND(D63&gt;=12698.41),ROUND(E63*0.05,2),"-"))))</f>
        <v>#VALUE!</v>
      </c>
    </row>
    <row r="64" spans="1:6" x14ac:dyDescent="0.25">
      <c r="A64" s="248" t="s">
        <v>374</v>
      </c>
      <c r="B64" s="250" t="s">
        <v>391</v>
      </c>
      <c r="C64" s="250" t="s">
        <v>29</v>
      </c>
      <c r="D64" s="223" t="str">
        <f>IFERROR(VLOOKUP($A64,'SCH D'!$C$15:$E$58,3,FALSE),"")</f>
        <v/>
      </c>
      <c r="E64" s="238" t="str">
        <f>IFERROR(VLOOKUP($A64,'SCH D'!$C$15:$G$58,5,FALSE),"")</f>
        <v/>
      </c>
      <c r="F64" s="26" t="e">
        <f>IF(AND(D64&gt;=14285.71,D64&lt;28571.43),ROUND(E64*0.01,2),IF(AND(D64&gt;=28571.43,D64&lt;33333.33),ROUND(E64*0.03,2),IF(AND(D64&gt;=33333.33,D64&lt;38095.24),ROUND(E64*0.04,2),IF(AND(D64&gt;=38095.24),ROUND(E64*0.05,2),"-"))))</f>
        <v>#VALUE!</v>
      </c>
    </row>
    <row r="65" spans="1:6" x14ac:dyDescent="0.25">
      <c r="A65" s="247" t="s">
        <v>375</v>
      </c>
      <c r="B65" s="249" t="s">
        <v>392</v>
      </c>
      <c r="C65" s="249" t="s">
        <v>29</v>
      </c>
      <c r="D65" s="223" t="str">
        <f>IFERROR(VLOOKUP($A65,'SCH D'!$C$15:$E$58,3,FALSE),"")</f>
        <v/>
      </c>
      <c r="E65" s="238" t="str">
        <f>IFERROR(VLOOKUP($A65,'SCH D'!$C$15:$G$58,5,FALSE),"")</f>
        <v/>
      </c>
      <c r="F65" s="26" t="e">
        <f>IF(AND(D65&gt;=9523.81,D65&lt;19047.62),ROUND(E65*0.01,2),IF(AND(D65&gt;=19047.62,D65&lt;22222.22),ROUND(E65*0.03,2),IF(AND(D65&gt;=22222.22,D65&lt;25396.83),ROUND(E65*0.04,2),IF(AND(D65&gt;=25396.83),ROUND(E65*0.05,2),"-"))))</f>
        <v>#VALUE!</v>
      </c>
    </row>
    <row r="66" spans="1:6" x14ac:dyDescent="0.25">
      <c r="A66" s="248" t="s">
        <v>376</v>
      </c>
      <c r="B66" s="250" t="s">
        <v>393</v>
      </c>
      <c r="C66" s="250" t="s">
        <v>29</v>
      </c>
      <c r="D66" s="223" t="str">
        <f>IFERROR(VLOOKUP($A66,'SCH D'!$C$15:$E$58,3,FALSE),"")</f>
        <v/>
      </c>
      <c r="E66" s="238" t="str">
        <f>IFERROR(VLOOKUP($A66,'SCH D'!$C$15:$G$58,5,FALSE),"")</f>
        <v/>
      </c>
      <c r="F66" s="26" t="e">
        <f>IF(AND(D66&gt;=7142.86,D66&lt;14285.71),ROUND(E66*0.01,2),IF(AND(D66&gt;=14285.71,D66&lt;16666.67),ROUND(E66*0.03,2),IF(AND(D66&gt;=16666.67,D66&lt;19047.62),ROUND(E66*0.04,2),IF(AND(D66&gt;=19047.62),ROUND(E66*0.05,2),"-"))))</f>
        <v>#VALUE!</v>
      </c>
    </row>
    <row r="67" spans="1:6" x14ac:dyDescent="0.25">
      <c r="A67" s="247" t="s">
        <v>377</v>
      </c>
      <c r="B67" s="249" t="s">
        <v>394</v>
      </c>
      <c r="C67" s="249" t="s">
        <v>29</v>
      </c>
      <c r="D67" s="223" t="str">
        <f>IFERROR(VLOOKUP($A67,'SCH D'!$C$15:$E$58,3,FALSE),"")</f>
        <v/>
      </c>
      <c r="E67" s="238" t="str">
        <f>IFERROR(VLOOKUP($A67,'SCH D'!$C$15:$G$58,5,FALSE),"")</f>
        <v/>
      </c>
      <c r="F67" s="26" t="e">
        <f>IF(AND(D67&gt;=5714.29,D67&lt;11428.57),ROUND(E67*0.01,2),IF(AND(D67&gt;=11,428.57,D67&lt;13333.33),ROUND(E67*0.03,2),IF(AND(D67&gt;=13333.33,D67&lt;15238.1),ROUND(E67*0.04,2),IF(AND(D67&gt;=15238.1),ROUND(E67*0.05,2),"-"))))</f>
        <v>#VALUE!</v>
      </c>
    </row>
    <row r="68" spans="1:6" x14ac:dyDescent="0.25">
      <c r="A68" s="248" t="s">
        <v>195</v>
      </c>
      <c r="B68" s="250" t="s">
        <v>395</v>
      </c>
      <c r="C68" s="250" t="s">
        <v>29</v>
      </c>
      <c r="D68" s="223" t="str">
        <f>IFERROR(VLOOKUP($A68,'SCH D'!$C$15:$E$58,3,FALSE),"")</f>
        <v/>
      </c>
      <c r="E68" s="238" t="str">
        <f>IFERROR(VLOOKUP($A68,'SCH D'!$C$15:$G$58,5,FALSE),"")</f>
        <v/>
      </c>
      <c r="F68" s="26" t="e">
        <f>IF(AND(D68&gt;=4761.9,D68&lt;9523.81),ROUND(E68*0.01,2),IF(AND(D68&gt;=9523.81,D68&lt;11111.11),ROUND(E68*0.03,2),IF(AND(D68&gt;=11111.11,D68&lt;12698.41),ROUND(E68*0.04,2),IF(AND(D68&gt;=12698.41),ROUND(E68*0.05,2),"-"))))</f>
        <v>#VALUE!</v>
      </c>
    </row>
    <row r="69" spans="1:6" x14ac:dyDescent="0.25">
      <c r="A69" s="247" t="s">
        <v>378</v>
      </c>
      <c r="B69" s="249" t="s">
        <v>396</v>
      </c>
      <c r="C69" s="249" t="s">
        <v>29</v>
      </c>
      <c r="D69" s="223" t="str">
        <f>IFERROR(VLOOKUP($A69,'SCH D'!$C$15:$E$58,3,FALSE),"")</f>
        <v/>
      </c>
      <c r="E69" s="238" t="str">
        <f>IFERROR(VLOOKUP($A69,'SCH D'!$C$15:$G$58,5,FALSE),"")</f>
        <v/>
      </c>
      <c r="F69" s="26" t="e">
        <f>IF(AND(D69&gt;=14285.71,D69&lt;28571.43),ROUND(E69*0.01,2),IF(AND(D69&gt;=28571.43,D69&lt;33333.33),ROUND(E69*0.03,2),IF(AND(D69&gt;=33333.33,D69&lt;38095.24),ROUND(E69*0.04,2),IF(AND(D69&gt;=38095.24),ROUND(E69*0.05,2),"-"))))</f>
        <v>#VALUE!</v>
      </c>
    </row>
    <row r="70" spans="1:6" x14ac:dyDescent="0.25">
      <c r="A70" s="248" t="s">
        <v>379</v>
      </c>
      <c r="B70" s="250" t="s">
        <v>397</v>
      </c>
      <c r="C70" s="250" t="s">
        <v>29</v>
      </c>
      <c r="D70" s="223" t="str">
        <f>IFERROR(VLOOKUP($A70,'SCH D'!$C$15:$E$58,3,FALSE),"")</f>
        <v/>
      </c>
      <c r="E70" s="238" t="str">
        <f>IFERROR(VLOOKUP($A70,'SCH D'!$C$15:$G$58,5,FALSE),"")</f>
        <v/>
      </c>
      <c r="F70" s="26" t="e">
        <f>IF(AND(D70&gt;=9523.81,D70&lt;19047.62),ROUND(E70*0.01,2),IF(AND(D70&gt;=19047.62,D70&lt;22222.22),ROUND(E70*0.03,2),IF(AND(D70&gt;=22222.22,D70&lt;25396.83),ROUND(E70*0.04,2),IF(AND(D70&gt;=25396.83),ROUND(E70*0.05,2),"-"))))</f>
        <v>#VALUE!</v>
      </c>
    </row>
    <row r="71" spans="1:6" x14ac:dyDescent="0.25">
      <c r="A71" s="247" t="s">
        <v>380</v>
      </c>
      <c r="B71" s="249" t="s">
        <v>398</v>
      </c>
      <c r="C71" s="249" t="s">
        <v>29</v>
      </c>
      <c r="D71" s="223" t="str">
        <f>IFERROR(VLOOKUP($A71,'SCH D'!$C$15:$E$58,3,FALSE),"")</f>
        <v/>
      </c>
      <c r="E71" s="238" t="str">
        <f>IFERROR(VLOOKUP($A71,'SCH D'!$C$15:$G$58,5,FALSE),"")</f>
        <v/>
      </c>
      <c r="F71" s="26" t="e">
        <f>IF(AND(D71&gt;=7142.86,D71&lt;14285.71),ROUND(E71*0.01,2),IF(AND(D71&gt;=14285.71,D71&lt;16666.67),ROUND(E71*0.03,2),IF(AND(D71&gt;=16666.67,D71&lt;19047.62),ROUND(E71*0.04,2),IF(AND(D71&gt;=19047.62),ROUND(E71*0.05,2),"-"))))</f>
        <v>#VALUE!</v>
      </c>
    </row>
    <row r="72" spans="1:6" x14ac:dyDescent="0.25">
      <c r="A72" s="248" t="s">
        <v>381</v>
      </c>
      <c r="B72" s="250" t="s">
        <v>399</v>
      </c>
      <c r="C72" s="250" t="s">
        <v>29</v>
      </c>
      <c r="D72" s="223" t="str">
        <f>IFERROR(VLOOKUP($A72,'SCH D'!$C$15:$E$58,3,FALSE),"")</f>
        <v/>
      </c>
      <c r="E72" s="238" t="str">
        <f>IFERROR(VLOOKUP($A72,'SCH D'!$C$15:$G$58,5,FALSE),"")</f>
        <v/>
      </c>
      <c r="F72" s="26" t="e">
        <f>IF(AND(D72&gt;=5714.29,D72&lt;11428.57),ROUND(E72*0.01,2),IF(AND(D72&gt;=11,428.57,D72&lt;13333.33),ROUND(E72*0.03,2),IF(AND(D72&gt;=13333.33,D72&lt;15238.1),ROUND(E72*0.04,2),IF(AND(D72&gt;=15238.1),ROUND(E72*0.05,2),"-"))))</f>
        <v>#VALUE!</v>
      </c>
    </row>
    <row r="73" spans="1:6" x14ac:dyDescent="0.25">
      <c r="A73" s="247" t="s">
        <v>382</v>
      </c>
      <c r="B73" s="249" t="s">
        <v>400</v>
      </c>
      <c r="C73" s="249" t="s">
        <v>29</v>
      </c>
      <c r="D73" s="223" t="str">
        <f>IFERROR(VLOOKUP($A73,'SCH D'!$C$15:$E$58,3,FALSE),"")</f>
        <v/>
      </c>
      <c r="E73" s="238" t="str">
        <f>IFERROR(VLOOKUP($A73,'SCH D'!$C$15:$G$58,5,FALSE),"")</f>
        <v/>
      </c>
      <c r="F73" s="26" t="e">
        <f>IF(AND(D73&gt;=4761.9,D73&lt;9523.81),ROUND(E73*0.01,2),IF(AND(D73&gt;=9523.81,D73&lt;11111.11),ROUND(E73*0.03,2),IF(AND(D73&gt;=11111.11,D73&lt;12698.41),ROUND(E73*0.04,2),IF(AND(D73&gt;=12698.41),ROUND(E73*0.05,2),"-"))))</f>
        <v>#VALUE!</v>
      </c>
    </row>
    <row r="74" spans="1:6" x14ac:dyDescent="0.25">
      <c r="A74" s="250" t="s">
        <v>142</v>
      </c>
      <c r="B74" s="250" t="s">
        <v>241</v>
      </c>
      <c r="C74" s="250" t="s">
        <v>227</v>
      </c>
      <c r="D74" s="223" t="str">
        <f>IFERROR(VLOOKUP($A74,'SCH D'!$C$15:$E$58,3,FALSE),"")</f>
        <v/>
      </c>
      <c r="E74" s="238" t="str">
        <f>IFERROR(VLOOKUP($A74,'SCH D'!$C$15:$G$58,5,FALSE),"")</f>
        <v/>
      </c>
      <c r="F74" s="26" t="e">
        <f>IF(AND(D74&gt;=1587.3,D74&lt;3174.6),ROUND(E74*0.01,2),IF(AND(D74&gt;=3174.6,D74&lt;3703.7),ROUND(E74*0.03,2),IF(AND(D74&gt;=3703.7,D74&lt;4232.8),ROUND(E74*0.04,2),IF(AND(D74&gt;=4232.8),ROUND(E74*0.05,2),"-"))))</f>
        <v>#VALUE!</v>
      </c>
    </row>
    <row r="75" spans="1:6" x14ac:dyDescent="0.25">
      <c r="A75" s="247" t="s">
        <v>383</v>
      </c>
      <c r="B75" s="249" t="s">
        <v>365</v>
      </c>
      <c r="C75" s="249" t="s">
        <v>227</v>
      </c>
      <c r="D75" s="223" t="str">
        <f>IFERROR(VLOOKUP($A75,'SCH D'!$C$15:$E$58,3,FALSE),"")</f>
        <v/>
      </c>
      <c r="E75" s="238" t="str">
        <f>IFERROR(VLOOKUP($A75,'SCH D'!$C$15:$G$58,5,FALSE),"")</f>
        <v/>
      </c>
      <c r="F75" s="26" t="e">
        <f t="shared" ref="F75:F77" si="5">IF(AND(D75&gt;=1587.3,D75&lt;3174.6),ROUND(E75*0.01,2),IF(AND(D75&gt;=3174.6,D75&lt;3703.7),ROUND(E75*0.03,2),IF(AND(D75&gt;=3703.7,D75&lt;4232.8),ROUND(E75*0.04,2),IF(AND(D75&gt;=4232.8),ROUND(E75*0.05,2),"-"))))</f>
        <v>#VALUE!</v>
      </c>
    </row>
    <row r="76" spans="1:6" x14ac:dyDescent="0.25">
      <c r="A76" s="248" t="s">
        <v>384</v>
      </c>
      <c r="B76" s="250" t="s">
        <v>366</v>
      </c>
      <c r="C76" s="250" t="s">
        <v>227</v>
      </c>
      <c r="D76" s="223" t="str">
        <f>IFERROR(VLOOKUP($A76,'SCH D'!$C$15:$E$58,3,FALSE),"")</f>
        <v/>
      </c>
      <c r="E76" s="238" t="str">
        <f>IFERROR(VLOOKUP($A76,'SCH D'!$C$15:$G$58,5,FALSE),"")</f>
        <v/>
      </c>
      <c r="F76" s="26" t="e">
        <f t="shared" si="5"/>
        <v>#VALUE!</v>
      </c>
    </row>
    <row r="77" spans="1:6" x14ac:dyDescent="0.25">
      <c r="A77" s="247" t="s">
        <v>385</v>
      </c>
      <c r="B77" s="249" t="s">
        <v>367</v>
      </c>
      <c r="C77" s="249" t="s">
        <v>227</v>
      </c>
      <c r="D77" s="223" t="str">
        <f>IFERROR(VLOOKUP($A77,'SCH D'!$C$15:$E$58,3,FALSE),"")</f>
        <v/>
      </c>
      <c r="E77" s="238" t="str">
        <f>IFERROR(VLOOKUP($A77,'SCH D'!$C$15:$G$58,5,FALSE),"")</f>
        <v/>
      </c>
      <c r="F77" s="26" t="e">
        <f t="shared" si="5"/>
        <v>#VALUE!</v>
      </c>
    </row>
    <row r="78" spans="1:6" x14ac:dyDescent="0.25">
      <c r="A78" s="255" t="s">
        <v>401</v>
      </c>
      <c r="B78" s="256" t="s">
        <v>261</v>
      </c>
      <c r="C78" s="256" t="s">
        <v>197</v>
      </c>
      <c r="D78" s="223" t="str">
        <f>IFERROR(VLOOKUP($A78,'SCH D'!$C$15:$E$58,3,FALSE),"")</f>
        <v/>
      </c>
      <c r="E78" s="238" t="str">
        <f>IFERROR(VLOOKUP($A78,'SCH D'!$C$15:$G$58,5,FALSE),"")</f>
        <v/>
      </c>
      <c r="F78" s="26" t="e">
        <f t="shared" ref="F78:F82" si="6">IF(AND(D78&gt;=3000,D78&lt;6000),ROUND(E78*0.01,2),IF(AND(D78&gt;=6000,D78&lt;7000),ROUND(E78*0.03,2),IF(AND(D78&gt;=7000,D78&lt;8000),ROUND(E78*0.04,2),IF(AND(D78&gt;=8000),ROUND(E78*0.05,2),"-"))))</f>
        <v>#VALUE!</v>
      </c>
    </row>
    <row r="79" spans="1:6" x14ac:dyDescent="0.25">
      <c r="A79" s="257" t="s">
        <v>402</v>
      </c>
      <c r="B79" s="258" t="s">
        <v>262</v>
      </c>
      <c r="C79" s="258" t="s">
        <v>197</v>
      </c>
      <c r="D79" s="223" t="str">
        <f>IFERROR(VLOOKUP($A79,'SCH D'!$C$15:$E$58,3,FALSE),"")</f>
        <v/>
      </c>
      <c r="E79" s="238" t="str">
        <f>IFERROR(VLOOKUP($A79,'SCH D'!$C$15:$G$58,5,FALSE),"")</f>
        <v/>
      </c>
      <c r="F79" s="26" t="e">
        <f t="shared" si="6"/>
        <v>#VALUE!</v>
      </c>
    </row>
    <row r="80" spans="1:6" x14ac:dyDescent="0.25">
      <c r="A80" s="255" t="s">
        <v>403</v>
      </c>
      <c r="B80" s="256" t="s">
        <v>263</v>
      </c>
      <c r="C80" s="256" t="s">
        <v>197</v>
      </c>
      <c r="D80" s="223" t="str">
        <f>IFERROR(VLOOKUP($A80,'SCH D'!$C$15:$E$58,3,FALSE),"")</f>
        <v/>
      </c>
      <c r="E80" s="238" t="str">
        <f>IFERROR(VLOOKUP($A80,'SCH D'!$C$15:$G$58,5,FALSE),"")</f>
        <v/>
      </c>
      <c r="F80" s="26" t="e">
        <f t="shared" si="6"/>
        <v>#VALUE!</v>
      </c>
    </row>
    <row r="81" spans="1:6" x14ac:dyDescent="0.25">
      <c r="A81" s="257" t="s">
        <v>404</v>
      </c>
      <c r="B81" s="258" t="s">
        <v>264</v>
      </c>
      <c r="C81" s="258" t="s">
        <v>197</v>
      </c>
      <c r="D81" s="223" t="str">
        <f>IFERROR(VLOOKUP($A81,'SCH D'!$C$15:$E$58,3,FALSE),"")</f>
        <v/>
      </c>
      <c r="E81" s="238" t="str">
        <f>IFERROR(VLOOKUP($A81,'SCH D'!$C$15:$G$58,5,FALSE),"")</f>
        <v/>
      </c>
      <c r="F81" s="26" t="e">
        <f t="shared" si="6"/>
        <v>#VALUE!</v>
      </c>
    </row>
    <row r="82" spans="1:6" x14ac:dyDescent="0.25">
      <c r="A82" s="255" t="s">
        <v>405</v>
      </c>
      <c r="B82" s="256" t="s">
        <v>265</v>
      </c>
      <c r="C82" s="256" t="s">
        <v>197</v>
      </c>
      <c r="D82" s="223" t="str">
        <f>IFERROR(VLOOKUP($A82,'SCH D'!$C$15:$E$58,3,FALSE),"")</f>
        <v/>
      </c>
      <c r="E82" s="238" t="str">
        <f>IFERROR(VLOOKUP($A82,'SCH D'!$C$15:$G$58,5,FALSE),"")</f>
        <v/>
      </c>
      <c r="F82" s="26" t="e">
        <f t="shared" si="6"/>
        <v>#VALUE!</v>
      </c>
    </row>
    <row r="83" spans="1:6" x14ac:dyDescent="0.25">
      <c r="A83" s="257" t="s">
        <v>406</v>
      </c>
      <c r="B83" s="258" t="s">
        <v>261</v>
      </c>
      <c r="C83" s="258" t="s">
        <v>29</v>
      </c>
      <c r="D83" s="223" t="str">
        <f>IFERROR(VLOOKUP($A83,'SCH D'!$C$15:$E$58,3,FALSE),"")</f>
        <v/>
      </c>
      <c r="E83" s="238" t="str">
        <f>IFERROR(VLOOKUP($A83,'SCH D'!$C$15:$G$58,5,FALSE),"")</f>
        <v/>
      </c>
      <c r="F83" s="223"/>
    </row>
    <row r="84" spans="1:6" x14ac:dyDescent="0.25">
      <c r="A84" s="255" t="s">
        <v>407</v>
      </c>
      <c r="B84" s="256" t="s">
        <v>262</v>
      </c>
      <c r="C84" s="256" t="s">
        <v>29</v>
      </c>
      <c r="D84" s="223" t="str">
        <f>IFERROR(VLOOKUP($A84,'SCH D'!$C$15:$E$58,3,FALSE),"")</f>
        <v/>
      </c>
      <c r="E84" s="238" t="str">
        <f>IFERROR(VLOOKUP($A84,'SCH D'!$C$15:$G$58,5,FALSE),"")</f>
        <v/>
      </c>
      <c r="F84" s="223"/>
    </row>
    <row r="85" spans="1:6" x14ac:dyDescent="0.25">
      <c r="A85" s="257" t="s">
        <v>408</v>
      </c>
      <c r="B85" s="258" t="s">
        <v>263</v>
      </c>
      <c r="C85" s="258" t="s">
        <v>29</v>
      </c>
      <c r="D85" s="223" t="str">
        <f>IFERROR(VLOOKUP($A85,'SCH D'!$C$15:$E$58,3,FALSE),"")</f>
        <v/>
      </c>
      <c r="E85" s="238" t="str">
        <f>IFERROR(VLOOKUP($A85,'SCH D'!$C$15:$G$58,5,FALSE),"")</f>
        <v/>
      </c>
      <c r="F85" s="26" t="e">
        <f>IF(AND(D85&gt;=14285.71,D85&lt;28571.43),ROUND(E85*0.01,2),IF(AND(D85&gt;=28571.43,D85&lt;33333.33),ROUND(E85*0.03,2),IF(AND(D85&gt;=33333.33,D85&lt;38095.24),ROUND(E85*0.04,2),IF(AND(D85&gt;=38095.24),ROUND(E85*0.05,2),"-"))))</f>
        <v>#VALUE!</v>
      </c>
    </row>
    <row r="86" spans="1:6" x14ac:dyDescent="0.25">
      <c r="A86" s="255" t="s">
        <v>409</v>
      </c>
      <c r="B86" s="256" t="s">
        <v>264</v>
      </c>
      <c r="C86" s="256" t="s">
        <v>29</v>
      </c>
      <c r="D86" s="223" t="str">
        <f>IFERROR(VLOOKUP($A86,'SCH D'!$C$15:$E$58,3,FALSE),"")</f>
        <v/>
      </c>
      <c r="E86" s="238" t="str">
        <f>IFERROR(VLOOKUP($A86,'SCH D'!$C$15:$G$58,5,FALSE),"")</f>
        <v/>
      </c>
      <c r="F86" s="223"/>
    </row>
    <row r="87" spans="1:6" x14ac:dyDescent="0.25">
      <c r="A87" s="257" t="s">
        <v>410</v>
      </c>
      <c r="B87" s="258" t="s">
        <v>265</v>
      </c>
      <c r="C87" s="258" t="s">
        <v>29</v>
      </c>
      <c r="D87" s="223" t="str">
        <f>IFERROR(VLOOKUP($A87,'SCH D'!$C$15:$E$58,3,FALSE),"")</f>
        <v/>
      </c>
      <c r="E87" s="238" t="str">
        <f>IFERROR(VLOOKUP($A87,'SCH D'!$C$15:$G$58,5,FALSE),"")</f>
        <v/>
      </c>
      <c r="F87" s="223"/>
    </row>
    <row r="88" spans="1:6" x14ac:dyDescent="0.25">
      <c r="A88" s="255" t="s">
        <v>411</v>
      </c>
      <c r="B88" s="256" t="s">
        <v>261</v>
      </c>
      <c r="C88" s="256" t="s">
        <v>227</v>
      </c>
      <c r="D88" s="223" t="str">
        <f>IFERROR(VLOOKUP($A88,'SCH D'!$C$15:$E$58,3,FALSE),"")</f>
        <v/>
      </c>
      <c r="E88" s="238" t="str">
        <f>IFERROR(VLOOKUP($A88,'SCH D'!$C$15:$G$58,5,FALSE),"")</f>
        <v/>
      </c>
      <c r="F88" s="26" t="e">
        <f t="shared" ref="F88:F92" si="7">IF(AND(D88&gt;=1587.3,D88&lt;3174.6),ROUND(E88*0.01,2),IF(AND(D88&gt;=3174.6,D88&lt;3703.7),ROUND(E88*0.03,2),IF(AND(D88&gt;=3703.7,D88&lt;4232.8),ROUND(E88*0.04,2),IF(AND(D88&gt;=4232.8),ROUND(E88*0.05,2),"-"))))</f>
        <v>#VALUE!</v>
      </c>
    </row>
    <row r="89" spans="1:6" x14ac:dyDescent="0.25">
      <c r="A89" s="257" t="s">
        <v>412</v>
      </c>
      <c r="B89" s="258" t="s">
        <v>262</v>
      </c>
      <c r="C89" s="258" t="s">
        <v>227</v>
      </c>
      <c r="D89" s="223" t="str">
        <f>IFERROR(VLOOKUP($A89,'SCH D'!$C$15:$E$58,3,FALSE),"")</f>
        <v/>
      </c>
      <c r="E89" s="238" t="str">
        <f>IFERROR(VLOOKUP($A89,'SCH D'!$C$15:$G$58,5,FALSE),"")</f>
        <v/>
      </c>
      <c r="F89" s="26" t="e">
        <f t="shared" si="7"/>
        <v>#VALUE!</v>
      </c>
    </row>
    <row r="90" spans="1:6" x14ac:dyDescent="0.25">
      <c r="A90" s="255" t="s">
        <v>413</v>
      </c>
      <c r="B90" s="256" t="s">
        <v>263</v>
      </c>
      <c r="C90" s="256" t="s">
        <v>227</v>
      </c>
      <c r="D90" s="223" t="str">
        <f>IFERROR(VLOOKUP($A90,'SCH D'!$C$15:$E$58,3,FALSE),"")</f>
        <v/>
      </c>
      <c r="E90" s="238" t="str">
        <f>IFERROR(VLOOKUP($A90,'SCH D'!$C$15:$G$58,5,FALSE),"")</f>
        <v/>
      </c>
      <c r="F90" s="26" t="e">
        <f t="shared" si="7"/>
        <v>#VALUE!</v>
      </c>
    </row>
    <row r="91" spans="1:6" x14ac:dyDescent="0.25">
      <c r="A91" s="257" t="s">
        <v>414</v>
      </c>
      <c r="B91" s="258" t="s">
        <v>264</v>
      </c>
      <c r="C91" s="258" t="s">
        <v>227</v>
      </c>
      <c r="D91" s="223" t="str">
        <f>IFERROR(VLOOKUP($A91,'SCH D'!$C$15:$E$58,3,FALSE),"")</f>
        <v/>
      </c>
      <c r="E91" s="238" t="str">
        <f>IFERROR(VLOOKUP($A91,'SCH D'!$C$15:$G$58,5,FALSE),"")</f>
        <v/>
      </c>
      <c r="F91" s="26" t="e">
        <f t="shared" si="7"/>
        <v>#VALUE!</v>
      </c>
    </row>
    <row r="92" spans="1:6" x14ac:dyDescent="0.25">
      <c r="A92" s="255" t="s">
        <v>415</v>
      </c>
      <c r="B92" s="256" t="s">
        <v>265</v>
      </c>
      <c r="C92" s="256" t="s">
        <v>227</v>
      </c>
      <c r="D92" s="223" t="str">
        <f>IFERROR(VLOOKUP($A92,'SCH D'!$C$15:$E$58,3,FALSE),"")</f>
        <v/>
      </c>
      <c r="E92" s="238" t="str">
        <f>IFERROR(VLOOKUP($A92,'SCH D'!$C$15:$G$58,5,FALSE),"")</f>
        <v/>
      </c>
      <c r="F92" s="26" t="e">
        <f t="shared" si="7"/>
        <v>#VALUE!</v>
      </c>
    </row>
    <row r="93" spans="1:6" x14ac:dyDescent="0.25">
      <c r="A93" s="266" t="s">
        <v>435</v>
      </c>
      <c r="B93" s="267" t="s">
        <v>261</v>
      </c>
      <c r="C93" s="267" t="s">
        <v>197</v>
      </c>
      <c r="D93" s="223" t="str">
        <f>IFERROR(VLOOKUP($A93,'SCH D'!$C$15:$E$58,3,FALSE),"")</f>
        <v/>
      </c>
      <c r="E93" s="238" t="str">
        <f>IFERROR(VLOOKUP($A93,'SCH D'!$C$15:$G$58,5,FALSE),"")</f>
        <v/>
      </c>
      <c r="F93" s="26" t="e">
        <f t="shared" ref="F93:F97" si="8">IF(AND(D93&gt;=3000,D93&lt;6000),ROUND(E93*0.01,2),IF(AND(D93&gt;=6000,D93&lt;7000),ROUND(E93*0.03,2),IF(AND(D93&gt;=7000,D93&lt;8000),ROUND(E93*0.04,2),IF(AND(D93&gt;=8000),ROUND(E93*0.05,2),"-"))))</f>
        <v>#VALUE!</v>
      </c>
    </row>
    <row r="94" spans="1:6" x14ac:dyDescent="0.25">
      <c r="A94" s="268" t="s">
        <v>436</v>
      </c>
      <c r="B94" s="269" t="s">
        <v>262</v>
      </c>
      <c r="C94" s="269" t="s">
        <v>197</v>
      </c>
      <c r="D94" s="223" t="str">
        <f>IFERROR(VLOOKUP($A94,'SCH D'!$C$15:$E$58,3,FALSE),"")</f>
        <v/>
      </c>
      <c r="E94" s="238" t="str">
        <f>IFERROR(VLOOKUP($A94,'SCH D'!$C$15:$G$58,5,FALSE),"")</f>
        <v/>
      </c>
      <c r="F94" s="26" t="e">
        <f t="shared" si="8"/>
        <v>#VALUE!</v>
      </c>
    </row>
    <row r="95" spans="1:6" x14ac:dyDescent="0.25">
      <c r="A95" s="266" t="s">
        <v>437</v>
      </c>
      <c r="B95" s="267" t="s">
        <v>263</v>
      </c>
      <c r="C95" s="267" t="s">
        <v>197</v>
      </c>
      <c r="D95" s="223" t="str">
        <f>IFERROR(VLOOKUP($A95,'SCH D'!$C$15:$E$58,3,FALSE),"")</f>
        <v/>
      </c>
      <c r="E95" s="238" t="str">
        <f>IFERROR(VLOOKUP($A95,'SCH D'!$C$15:$G$58,5,FALSE),"")</f>
        <v/>
      </c>
      <c r="F95" s="26" t="e">
        <f t="shared" si="8"/>
        <v>#VALUE!</v>
      </c>
    </row>
    <row r="96" spans="1:6" x14ac:dyDescent="0.25">
      <c r="A96" s="268" t="s">
        <v>438</v>
      </c>
      <c r="B96" s="269" t="s">
        <v>264</v>
      </c>
      <c r="C96" s="269" t="s">
        <v>197</v>
      </c>
      <c r="D96" s="223" t="str">
        <f>IFERROR(VLOOKUP($A96,'SCH D'!$C$15:$E$58,3,FALSE),"")</f>
        <v/>
      </c>
      <c r="E96" s="238" t="str">
        <f>IFERROR(VLOOKUP($A96,'SCH D'!$C$15:$G$58,5,FALSE),"")</f>
        <v/>
      </c>
      <c r="F96" s="26" t="e">
        <f t="shared" si="8"/>
        <v>#VALUE!</v>
      </c>
    </row>
    <row r="97" spans="1:6" x14ac:dyDescent="0.25">
      <c r="A97" s="266" t="s">
        <v>439</v>
      </c>
      <c r="B97" s="267" t="s">
        <v>265</v>
      </c>
      <c r="C97" s="267" t="s">
        <v>197</v>
      </c>
      <c r="D97" s="223" t="str">
        <f>IFERROR(VLOOKUP($A97,'SCH D'!$C$15:$E$58,3,FALSE),"")</f>
        <v/>
      </c>
      <c r="E97" s="238" t="str">
        <f>IFERROR(VLOOKUP($A97,'SCH D'!$C$15:$G$58,5,FALSE),"")</f>
        <v/>
      </c>
      <c r="F97" s="26" t="e">
        <f t="shared" si="8"/>
        <v>#VALUE!</v>
      </c>
    </row>
    <row r="98" spans="1:6" x14ac:dyDescent="0.25">
      <c r="A98" s="268" t="s">
        <v>440</v>
      </c>
      <c r="B98" s="269" t="s">
        <v>261</v>
      </c>
      <c r="C98" s="269" t="s">
        <v>29</v>
      </c>
      <c r="D98" s="223" t="str">
        <f>IFERROR(VLOOKUP($A98,'SCH D'!$C$15:$E$58,3,FALSE),"")</f>
        <v/>
      </c>
      <c r="E98" s="238" t="str">
        <f>IFERROR(VLOOKUP($A98,'SCH D'!$C$15:$G$58,5,FALSE),"")</f>
        <v/>
      </c>
      <c r="F98" s="223"/>
    </row>
    <row r="99" spans="1:6" x14ac:dyDescent="0.25">
      <c r="A99" s="266" t="s">
        <v>441</v>
      </c>
      <c r="B99" s="267" t="s">
        <v>262</v>
      </c>
      <c r="C99" s="267" t="s">
        <v>29</v>
      </c>
      <c r="D99" s="223" t="str">
        <f>IFERROR(VLOOKUP($A99,'SCH D'!$C$15:$E$58,3,FALSE),"")</f>
        <v/>
      </c>
      <c r="E99" s="238" t="str">
        <f>IFERROR(VLOOKUP($A99,'SCH D'!$C$15:$G$58,5,FALSE),"")</f>
        <v/>
      </c>
      <c r="F99" s="223"/>
    </row>
    <row r="100" spans="1:6" x14ac:dyDescent="0.25">
      <c r="A100" s="268" t="s">
        <v>442</v>
      </c>
      <c r="B100" s="269" t="s">
        <v>263</v>
      </c>
      <c r="C100" s="269" t="s">
        <v>29</v>
      </c>
      <c r="D100" s="223" t="str">
        <f>IFERROR(VLOOKUP($A100,'SCH D'!$C$15:$E$58,3,FALSE),"")</f>
        <v/>
      </c>
      <c r="E100" s="238" t="str">
        <f>IFERROR(VLOOKUP($A100,'SCH D'!$C$15:$G$58,5,FALSE),"")</f>
        <v/>
      </c>
      <c r="F100" s="26" t="e">
        <f>IF(AND(D100&gt;=14285.71,D100&lt;28571.43),ROUND(E100*0.01,2),IF(AND(D100&gt;=28571.43,D100&lt;33333.33),ROUND(E100*0.03,2),IF(AND(D100&gt;=33333.33,D100&lt;38095.24),ROUND(E100*0.04,2),IF(AND(D100&gt;=38095.24),ROUND(E100*0.05,2),"-"))))</f>
        <v>#VALUE!</v>
      </c>
    </row>
    <row r="101" spans="1:6" x14ac:dyDescent="0.25">
      <c r="A101" s="266" t="s">
        <v>443</v>
      </c>
      <c r="B101" s="267" t="s">
        <v>264</v>
      </c>
      <c r="C101" s="267" t="s">
        <v>29</v>
      </c>
      <c r="D101" s="223" t="str">
        <f>IFERROR(VLOOKUP($A101,'SCH D'!$C$15:$E$58,3,FALSE),"")</f>
        <v/>
      </c>
      <c r="E101" s="238" t="str">
        <f>IFERROR(VLOOKUP($A101,'SCH D'!$C$15:$G$58,5,FALSE),"")</f>
        <v/>
      </c>
      <c r="F101" s="223"/>
    </row>
    <row r="102" spans="1:6" x14ac:dyDescent="0.25">
      <c r="A102" s="268" t="s">
        <v>444</v>
      </c>
      <c r="B102" s="269" t="s">
        <v>265</v>
      </c>
      <c r="C102" s="269" t="s">
        <v>29</v>
      </c>
      <c r="D102" s="223" t="str">
        <f>IFERROR(VLOOKUP($A102,'SCH D'!$C$15:$E$58,3,FALSE),"")</f>
        <v/>
      </c>
      <c r="E102" s="238" t="str">
        <f>IFERROR(VLOOKUP($A102,'SCH D'!$C$15:$G$58,5,FALSE),"")</f>
        <v/>
      </c>
      <c r="F102" s="223"/>
    </row>
    <row r="103" spans="1:6" x14ac:dyDescent="0.25">
      <c r="A103" s="266" t="s">
        <v>445</v>
      </c>
      <c r="B103" s="267" t="s">
        <v>261</v>
      </c>
      <c r="C103" s="267" t="s">
        <v>227</v>
      </c>
      <c r="D103" s="223" t="str">
        <f>IFERROR(VLOOKUP($A103,'SCH D'!$C$15:$E$58,3,FALSE),"")</f>
        <v/>
      </c>
      <c r="E103" s="238" t="str">
        <f>IFERROR(VLOOKUP($A103,'SCH D'!$C$15:$G$58,5,FALSE),"")</f>
        <v/>
      </c>
      <c r="F103" s="26" t="e">
        <f t="shared" ref="F103:F107" si="9">IF(AND(D103&gt;=1587.3,D103&lt;3174.6),ROUND(E103*0.01,2),IF(AND(D103&gt;=3174.6,D103&lt;3703.7),ROUND(E103*0.03,2),IF(AND(D103&gt;=3703.7,D103&lt;4232.8),ROUND(E103*0.04,2),IF(AND(D103&gt;=4232.8),ROUND(E103*0.05,2),"-"))))</f>
        <v>#VALUE!</v>
      </c>
    </row>
    <row r="104" spans="1:6" x14ac:dyDescent="0.25">
      <c r="A104" s="268" t="s">
        <v>446</v>
      </c>
      <c r="B104" s="269" t="s">
        <v>262</v>
      </c>
      <c r="C104" s="269" t="s">
        <v>227</v>
      </c>
      <c r="D104" s="223" t="str">
        <f>IFERROR(VLOOKUP($A104,'SCH D'!$C$15:$E$58,3,FALSE),"")</f>
        <v/>
      </c>
      <c r="E104" s="238" t="str">
        <f>IFERROR(VLOOKUP($A104,'SCH D'!$C$15:$G$58,5,FALSE),"")</f>
        <v/>
      </c>
      <c r="F104" s="26" t="e">
        <f t="shared" si="9"/>
        <v>#VALUE!</v>
      </c>
    </row>
    <row r="105" spans="1:6" x14ac:dyDescent="0.25">
      <c r="A105" s="266" t="s">
        <v>447</v>
      </c>
      <c r="B105" s="267" t="s">
        <v>263</v>
      </c>
      <c r="C105" s="267" t="s">
        <v>227</v>
      </c>
      <c r="D105" s="223" t="str">
        <f>IFERROR(VLOOKUP($A105,'SCH D'!$C$15:$E$58,3,FALSE),"")</f>
        <v/>
      </c>
      <c r="E105" s="238" t="str">
        <f>IFERROR(VLOOKUP($A105,'SCH D'!$C$15:$G$58,5,FALSE),"")</f>
        <v/>
      </c>
      <c r="F105" s="26" t="e">
        <f t="shared" si="9"/>
        <v>#VALUE!</v>
      </c>
    </row>
    <row r="106" spans="1:6" x14ac:dyDescent="0.25">
      <c r="A106" s="268" t="s">
        <v>448</v>
      </c>
      <c r="B106" s="269" t="s">
        <v>264</v>
      </c>
      <c r="C106" s="269" t="s">
        <v>227</v>
      </c>
      <c r="D106" s="223" t="str">
        <f>IFERROR(VLOOKUP($A106,'SCH D'!$C$15:$E$58,3,FALSE),"")</f>
        <v/>
      </c>
      <c r="E106" s="238" t="str">
        <f>IFERROR(VLOOKUP($A106,'SCH D'!$C$15:$G$58,5,FALSE),"")</f>
        <v/>
      </c>
      <c r="F106" s="26" t="e">
        <f t="shared" si="9"/>
        <v>#VALUE!</v>
      </c>
    </row>
    <row r="107" spans="1:6" x14ac:dyDescent="0.25">
      <c r="A107" s="266" t="s">
        <v>449</v>
      </c>
      <c r="B107" s="267" t="s">
        <v>265</v>
      </c>
      <c r="C107" s="267" t="s">
        <v>227</v>
      </c>
      <c r="D107" s="223" t="str">
        <f>IFERROR(VLOOKUP($A107,'SCH D'!$C$15:$E$58,3,FALSE),"")</f>
        <v/>
      </c>
      <c r="E107" s="238" t="str">
        <f>IFERROR(VLOOKUP($A107,'SCH D'!$C$15:$G$58,5,FALSE),"")</f>
        <v/>
      </c>
      <c r="F107" s="26" t="e">
        <f t="shared" si="9"/>
        <v>#VALUE!</v>
      </c>
    </row>
    <row r="108" spans="1:6" x14ac:dyDescent="0.25">
      <c r="A108" s="204" t="s">
        <v>266</v>
      </c>
      <c r="B108" s="204" t="s">
        <v>416</v>
      </c>
      <c r="C108" s="204" t="s">
        <v>276</v>
      </c>
      <c r="D108" s="223" t="str">
        <f>IFERROR(VLOOKUP($A108,'SCH D'!$C$15:$E$58,3,FALSE),"")</f>
        <v/>
      </c>
      <c r="E108" s="238" t="str">
        <f>IFERROR(VLOOKUP($A108,'SCH D'!$C$15:$G$58,5,FALSE),"")</f>
        <v/>
      </c>
      <c r="F108" s="223"/>
    </row>
    <row r="109" spans="1:6" x14ac:dyDescent="0.25">
      <c r="A109" s="205" t="s">
        <v>267</v>
      </c>
      <c r="B109" s="205" t="s">
        <v>277</v>
      </c>
      <c r="C109" s="205" t="s">
        <v>276</v>
      </c>
      <c r="D109" s="223" t="str">
        <f>IFERROR(VLOOKUP($A109,'SCH D'!$C$15:$E$58,3,FALSE),"")</f>
        <v/>
      </c>
      <c r="E109" s="238" t="str">
        <f>IFERROR(VLOOKUP($A109,'SCH D'!$C$15:$G$58,5,FALSE),"")</f>
        <v/>
      </c>
      <c r="F109" s="223"/>
    </row>
    <row r="110" spans="1:6" x14ac:dyDescent="0.25">
      <c r="A110" s="204" t="s">
        <v>268</v>
      </c>
      <c r="B110" s="204" t="s">
        <v>417</v>
      </c>
      <c r="C110" s="204" t="s">
        <v>276</v>
      </c>
      <c r="D110" s="223" t="str">
        <f>IFERROR(VLOOKUP($A110,'SCH D'!$C$15:$E$58,3,FALSE),"")</f>
        <v/>
      </c>
      <c r="E110" s="238" t="str">
        <f>IFERROR(VLOOKUP($A110,'SCH D'!$C$15:$G$58,5,FALSE),"")</f>
        <v/>
      </c>
      <c r="F110" s="223"/>
    </row>
    <row r="111" spans="1:6" x14ac:dyDescent="0.25">
      <c r="A111" s="205" t="s">
        <v>269</v>
      </c>
      <c r="B111" s="205" t="s">
        <v>278</v>
      </c>
      <c r="C111" s="205" t="s">
        <v>276</v>
      </c>
      <c r="D111" s="223" t="str">
        <f>IFERROR(VLOOKUP($A111,'SCH D'!$C$15:$E$58,3,FALSE),"")</f>
        <v/>
      </c>
      <c r="E111" s="238" t="str">
        <f>IFERROR(VLOOKUP($A111,'SCH D'!$C$15:$G$58,5,FALSE),"")</f>
        <v/>
      </c>
      <c r="F111" s="223"/>
    </row>
    <row r="112" spans="1:6" x14ac:dyDescent="0.25">
      <c r="A112" s="204" t="s">
        <v>270</v>
      </c>
      <c r="B112" s="204" t="s">
        <v>416</v>
      </c>
      <c r="C112" s="204" t="s">
        <v>29</v>
      </c>
      <c r="D112" s="223" t="str">
        <f>IFERROR(VLOOKUP($A112,'SCH D'!$C$15:$E$58,3,FALSE),"")</f>
        <v/>
      </c>
      <c r="E112" s="238" t="str">
        <f>IFERROR(VLOOKUP($A112,'SCH D'!$C$15:$G$58,5,FALSE),"")</f>
        <v/>
      </c>
      <c r="F112" s="223"/>
    </row>
    <row r="113" spans="1:6" x14ac:dyDescent="0.25">
      <c r="A113" s="205" t="s">
        <v>271</v>
      </c>
      <c r="B113" s="212" t="s">
        <v>277</v>
      </c>
      <c r="C113" s="205" t="s">
        <v>29</v>
      </c>
      <c r="D113" s="223" t="str">
        <f>IFERROR(VLOOKUP($A113,'SCH D'!$C$15:$E$58,3,FALSE),"")</f>
        <v/>
      </c>
      <c r="E113" s="238" t="str">
        <f>IFERROR(VLOOKUP($A113,'SCH D'!$C$15:$G$58,5,FALSE),"")</f>
        <v/>
      </c>
      <c r="F113" s="223"/>
    </row>
    <row r="114" spans="1:6" x14ac:dyDescent="0.25">
      <c r="A114" s="204" t="s">
        <v>272</v>
      </c>
      <c r="B114" s="213" t="s">
        <v>417</v>
      </c>
      <c r="C114" s="204" t="s">
        <v>29</v>
      </c>
      <c r="D114" s="223" t="str">
        <f>IFERROR(VLOOKUP($A114,'SCH D'!$C$15:$E$58,3,FALSE),"")</f>
        <v/>
      </c>
      <c r="E114" s="238" t="str">
        <f>IFERROR(VLOOKUP($A114,'SCH D'!$C$15:$G$58,5,FALSE),"")</f>
        <v/>
      </c>
      <c r="F114" s="223"/>
    </row>
    <row r="115" spans="1:6" ht="26.25" x14ac:dyDescent="0.25">
      <c r="A115" s="205" t="s">
        <v>273</v>
      </c>
      <c r="B115" s="212" t="s">
        <v>278</v>
      </c>
      <c r="C115" s="205" t="s">
        <v>29</v>
      </c>
      <c r="D115" s="223" t="str">
        <f>IFERROR(VLOOKUP($A115,'SCH D'!$C$15:$E$58,3,FALSE),"")</f>
        <v/>
      </c>
      <c r="E115" s="238" t="str">
        <f>IFERROR(VLOOKUP($A115,'SCH D'!$C$15:$G$58,5,FALSE),"")</f>
        <v/>
      </c>
      <c r="F115" s="223"/>
    </row>
    <row r="116" spans="1:6" x14ac:dyDescent="0.25">
      <c r="A116" s="204" t="s">
        <v>274</v>
      </c>
      <c r="B116" s="204" t="s">
        <v>416</v>
      </c>
      <c r="C116" s="204" t="s">
        <v>197</v>
      </c>
      <c r="D116" s="223" t="str">
        <f>IFERROR(VLOOKUP($A116,'SCH D'!$C$15:$E$58,3,FALSE),"")</f>
        <v/>
      </c>
      <c r="E116" s="238" t="str">
        <f>IFERROR(VLOOKUP($A116,'SCH D'!$C$15:$G$58,5,FALSE),"")</f>
        <v/>
      </c>
      <c r="F116" s="26" t="e">
        <f t="shared" ref="F116:F117" si="10">IF(AND(D116&gt;=3000,D116&lt;6000),ROUND(E116*0.01,2),IF(AND(D116&gt;=6000,D116&lt;7000),ROUND(E116*0.03,2),IF(AND(D116&gt;=7000,D116&lt;8000),ROUND(E116*0.04,2),IF(AND(D116&gt;=8000),ROUND(E116*0.05,2),"-"))))</f>
        <v>#VALUE!</v>
      </c>
    </row>
    <row r="117" spans="1:6" x14ac:dyDescent="0.25">
      <c r="A117" s="246" t="s">
        <v>275</v>
      </c>
      <c r="B117" s="246" t="s">
        <v>417</v>
      </c>
      <c r="C117" s="246" t="s">
        <v>197</v>
      </c>
      <c r="D117" s="223" t="str">
        <f>IFERROR(VLOOKUP($A117,'SCH D'!$C$15:$E$58,3,FALSE),"")</f>
        <v/>
      </c>
      <c r="E117" s="238" t="str">
        <f>IFERROR(VLOOKUP($A117,'SCH D'!$C$15:$G$58,5,FALSE),"")</f>
        <v/>
      </c>
      <c r="F117" s="26" t="e">
        <f t="shared" si="10"/>
        <v>#VALUE!</v>
      </c>
    </row>
    <row r="118" spans="1:6" x14ac:dyDescent="0.25">
      <c r="A118" s="204" t="s">
        <v>279</v>
      </c>
      <c r="B118" s="204" t="s">
        <v>280</v>
      </c>
      <c r="C118" s="206" t="s">
        <v>197</v>
      </c>
      <c r="D118" s="223" t="str">
        <f>IFERROR(VLOOKUP($A118,'SCH D'!$C$15:$E$58,3,FALSE),"")</f>
        <v/>
      </c>
      <c r="E118" s="238" t="str">
        <f>IFERROR(VLOOKUP($A118,'SCH D'!$C$15:$G$58,5,FALSE),"")</f>
        <v/>
      </c>
      <c r="F118" s="223"/>
    </row>
    <row r="119" spans="1:6" x14ac:dyDescent="0.25">
      <c r="A119" s="205" t="s">
        <v>281</v>
      </c>
      <c r="B119" s="205" t="s">
        <v>249</v>
      </c>
      <c r="C119" s="205" t="s">
        <v>197</v>
      </c>
      <c r="D119" s="223" t="str">
        <f>IFERROR(VLOOKUP($A119,'SCH D'!$C$15:$E$58,3,FALSE),"")</f>
        <v/>
      </c>
      <c r="E119" s="238" t="str">
        <f>IFERROR(VLOOKUP($A119,'SCH D'!$C$15:$G$58,5,FALSE),"")</f>
        <v/>
      </c>
      <c r="F119" s="26" t="e">
        <f>IF((D119&gt;=1575),ROUND(E119*0.01,2),"-")</f>
        <v>#VALUE!</v>
      </c>
    </row>
    <row r="120" spans="1:6" x14ac:dyDescent="0.25">
      <c r="A120" s="204" t="s">
        <v>282</v>
      </c>
      <c r="B120" s="204" t="s">
        <v>250</v>
      </c>
      <c r="C120" s="204" t="s">
        <v>197</v>
      </c>
      <c r="D120" s="223" t="str">
        <f>IFERROR(VLOOKUP($A120,'SCH D'!$C$15:$E$58,3,FALSE),"")</f>
        <v/>
      </c>
      <c r="E120" s="238" t="str">
        <f>IFERROR(VLOOKUP($A120,'SCH D'!$C$15:$G$58,5,FALSE),"")</f>
        <v/>
      </c>
      <c r="F120" s="26" t="e">
        <f>IF((D120&gt;=1050),ROUND(E120*0.01,2),"-")</f>
        <v>#VALUE!</v>
      </c>
    </row>
    <row r="121" spans="1:6" x14ac:dyDescent="0.25">
      <c r="A121" s="205" t="s">
        <v>283</v>
      </c>
      <c r="B121" s="205" t="s">
        <v>251</v>
      </c>
      <c r="C121" s="205" t="s">
        <v>197</v>
      </c>
      <c r="D121" s="223" t="str">
        <f>IFERROR(VLOOKUP($A121,'SCH D'!$C$15:$E$58,3,FALSE),"")</f>
        <v/>
      </c>
      <c r="E121" s="238" t="str">
        <f>IFERROR(VLOOKUP($A121,'SCH D'!$C$15:$G$58,5,FALSE),"")</f>
        <v/>
      </c>
      <c r="F121" s="26" t="e">
        <f>IF((D121&gt;=787.5),ROUND(E121*0.01,2),"-")</f>
        <v>#VALUE!</v>
      </c>
    </row>
    <row r="122" spans="1:6" x14ac:dyDescent="0.25">
      <c r="A122" s="204" t="s">
        <v>284</v>
      </c>
      <c r="B122" s="204" t="s">
        <v>252</v>
      </c>
      <c r="C122" s="204" t="s">
        <v>197</v>
      </c>
      <c r="D122" s="223" t="str">
        <f>IFERROR(VLOOKUP($A122,'SCH D'!$C$15:$E$58,3,FALSE),"")</f>
        <v/>
      </c>
      <c r="E122" s="238" t="str">
        <f>IFERROR(VLOOKUP($A122,'SCH D'!$C$15:$G$58,5,FALSE),"")</f>
        <v/>
      </c>
      <c r="F122" s="26" t="e">
        <f>IF((D122&gt;=393.75),ROUND(E122*0.01,2),"-")</f>
        <v>#VALUE!</v>
      </c>
    </row>
    <row r="123" spans="1:6" x14ac:dyDescent="0.25">
      <c r="A123" s="205" t="s">
        <v>285</v>
      </c>
      <c r="B123" s="205" t="s">
        <v>291</v>
      </c>
      <c r="C123" s="205" t="s">
        <v>197</v>
      </c>
      <c r="D123" s="223" t="str">
        <f>IFERROR(VLOOKUP($A123,'SCH D'!$C$15:$E$58,3,FALSE),"")</f>
        <v/>
      </c>
      <c r="E123" s="238" t="str">
        <f>IFERROR(VLOOKUP($A123,'SCH D'!$C$15:$G$58,5,FALSE),"")</f>
        <v/>
      </c>
      <c r="F123" s="26" t="e">
        <f>IF((D123&gt;=(1575*2)),ROUND(E123*0.01,2),"-")</f>
        <v>#VALUE!</v>
      </c>
    </row>
    <row r="124" spans="1:6" x14ac:dyDescent="0.25">
      <c r="A124" s="204" t="s">
        <v>286</v>
      </c>
      <c r="B124" s="204" t="s">
        <v>292</v>
      </c>
      <c r="C124" s="204" t="s">
        <v>197</v>
      </c>
      <c r="D124" s="223" t="str">
        <f>IFERROR(VLOOKUP($A124,'SCH D'!$C$15:$E$58,3,FALSE),"")</f>
        <v/>
      </c>
      <c r="E124" s="238" t="str">
        <f>IFERROR(VLOOKUP($A124,'SCH D'!$C$15:$G$58,5,FALSE),"")</f>
        <v/>
      </c>
      <c r="F124" s="26" t="e">
        <f>IF((D124&gt;=(787.5*2)),ROUND(E124*0.01,2),"-")</f>
        <v>#VALUE!</v>
      </c>
    </row>
    <row r="125" spans="1:6" x14ac:dyDescent="0.25">
      <c r="A125" s="205" t="s">
        <v>287</v>
      </c>
      <c r="B125" s="205" t="s">
        <v>293</v>
      </c>
      <c r="C125" s="205" t="s">
        <v>197</v>
      </c>
      <c r="D125" s="223" t="str">
        <f>IFERROR(VLOOKUP($A125,'SCH D'!$C$15:$E$58,3,FALSE),"")</f>
        <v/>
      </c>
      <c r="E125" s="238" t="str">
        <f>IFERROR(VLOOKUP($A125,'SCH D'!$C$15:$G$58,5,FALSE),"")</f>
        <v/>
      </c>
      <c r="F125" s="26" t="e">
        <f>IF((D125&gt;=(1050*2)),ROUND(E125*0.01,2),"-")</f>
        <v>#VALUE!</v>
      </c>
    </row>
    <row r="126" spans="1:6" x14ac:dyDescent="0.25">
      <c r="A126" s="204" t="s">
        <v>288</v>
      </c>
      <c r="B126" s="204" t="s">
        <v>294</v>
      </c>
      <c r="C126" s="204" t="s">
        <v>197</v>
      </c>
      <c r="D126" s="223" t="str">
        <f>IFERROR(VLOOKUP($A126,'SCH D'!$C$15:$E$58,3,FALSE),"")</f>
        <v/>
      </c>
      <c r="E126" s="238" t="str">
        <f>IFERROR(VLOOKUP($A126,'SCH D'!$C$15:$G$58,5,FALSE),"")</f>
        <v/>
      </c>
      <c r="F126" s="26" t="e">
        <f>IF((D126&gt;=(787.5*2)),ROUND(E126*0.01,2),"-")</f>
        <v>#VALUE!</v>
      </c>
    </row>
    <row r="127" spans="1:6" x14ac:dyDescent="0.25">
      <c r="A127" s="205" t="s">
        <v>289</v>
      </c>
      <c r="B127" s="205" t="s">
        <v>295</v>
      </c>
      <c r="C127" s="205" t="s">
        <v>197</v>
      </c>
      <c r="D127" s="223" t="str">
        <f>IFERROR(VLOOKUP($A127,'SCH D'!$C$15:$E$58,3,FALSE),"")</f>
        <v/>
      </c>
      <c r="E127" s="238" t="str">
        <f>IFERROR(VLOOKUP($A127,'SCH D'!$C$15:$G$58,5,FALSE),"")</f>
        <v/>
      </c>
      <c r="F127" s="26" t="e">
        <f>IF((D127&gt;=(787.5*2)),ROUND(E127*0.01,2),"-")</f>
        <v>#VALUE!</v>
      </c>
    </row>
    <row r="128" spans="1:6" x14ac:dyDescent="0.25">
      <c r="A128" s="204" t="s">
        <v>290</v>
      </c>
      <c r="B128" s="204" t="s">
        <v>296</v>
      </c>
      <c r="C128" s="204" t="s">
        <v>197</v>
      </c>
      <c r="D128" s="223" t="str">
        <f>IFERROR(VLOOKUP($A128,'SCH D'!$C$15:$E$58,3,FALSE),"")</f>
        <v/>
      </c>
      <c r="E128" s="238" t="str">
        <f>IFERROR(VLOOKUP($A128,'SCH D'!$C$15:$G$58,5,FALSE),"")</f>
        <v/>
      </c>
      <c r="F128" s="26" t="e">
        <f>IF((D128&gt;=(393.75*2)),ROUND(E128*0.01,2),"-")</f>
        <v>#VALUE!</v>
      </c>
    </row>
    <row r="129" spans="1:16" x14ac:dyDescent="0.25">
      <c r="A129" s="205" t="s">
        <v>242</v>
      </c>
      <c r="B129" s="205" t="s">
        <v>249</v>
      </c>
      <c r="C129" s="205" t="s">
        <v>29</v>
      </c>
      <c r="D129" s="223" t="str">
        <f>IFERROR(VLOOKUP($A129,'SCH D'!$C$15:$E$58,3,FALSE),"")</f>
        <v/>
      </c>
      <c r="E129" s="238" t="str">
        <f>IFERROR(VLOOKUP($A129,'SCH D'!$C$15:$G$58,5,FALSE),"")</f>
        <v/>
      </c>
      <c r="F129" s="26" t="e">
        <f>IF((D129&gt;=40000),ROUND(E129*0.05,2),"-")</f>
        <v>#VALUE!</v>
      </c>
    </row>
    <row r="130" spans="1:16" x14ac:dyDescent="0.25">
      <c r="A130" s="204" t="s">
        <v>243</v>
      </c>
      <c r="B130" s="204" t="s">
        <v>250</v>
      </c>
      <c r="C130" s="204" t="s">
        <v>29</v>
      </c>
      <c r="D130" s="223" t="str">
        <f>IFERROR(VLOOKUP($A130,'SCH D'!$C$15:$E$58,3,FALSE),"")</f>
        <v/>
      </c>
      <c r="E130" s="238" t="str">
        <f>IFERROR(VLOOKUP($A130,'SCH D'!$C$15:$G$58,5,FALSE),"")</f>
        <v/>
      </c>
      <c r="F130" s="26" t="e">
        <f t="shared" ref="F130:F135" si="11">IF((D130&gt;=40000),ROUND(E130*0.05,2),"-")</f>
        <v>#VALUE!</v>
      </c>
    </row>
    <row r="131" spans="1:16" x14ac:dyDescent="0.25">
      <c r="A131" s="205" t="s">
        <v>244</v>
      </c>
      <c r="B131" s="205" t="s">
        <v>251</v>
      </c>
      <c r="C131" s="205" t="s">
        <v>29</v>
      </c>
      <c r="D131" s="223" t="str">
        <f>IFERROR(VLOOKUP($A131,'SCH D'!$C$15:$E$58,3,FALSE),"")</f>
        <v/>
      </c>
      <c r="E131" s="238" t="str">
        <f>IFERROR(VLOOKUP($A131,'SCH D'!$C$15:$G$58,5,FALSE),"")</f>
        <v/>
      </c>
      <c r="F131" s="26" t="e">
        <f t="shared" si="11"/>
        <v>#VALUE!</v>
      </c>
    </row>
    <row r="132" spans="1:16" x14ac:dyDescent="0.25">
      <c r="A132" s="204" t="s">
        <v>245</v>
      </c>
      <c r="B132" s="204" t="s">
        <v>252</v>
      </c>
      <c r="C132" s="204" t="s">
        <v>29</v>
      </c>
      <c r="D132" s="223" t="str">
        <f>IFERROR(VLOOKUP($A132,'SCH D'!$C$15:$E$58,3,FALSE),"")</f>
        <v/>
      </c>
      <c r="E132" s="238" t="str">
        <f>IFERROR(VLOOKUP($A132,'SCH D'!$C$15:$G$58,5,FALSE),"")</f>
        <v/>
      </c>
      <c r="F132" s="26" t="e">
        <f t="shared" si="11"/>
        <v>#VALUE!</v>
      </c>
    </row>
    <row r="133" spans="1:16" x14ac:dyDescent="0.25">
      <c r="A133" s="205" t="s">
        <v>246</v>
      </c>
      <c r="B133" s="205" t="s">
        <v>253</v>
      </c>
      <c r="C133" s="205" t="s">
        <v>29</v>
      </c>
      <c r="D133" s="223" t="str">
        <f>IFERROR(VLOOKUP($A133,'SCH D'!$C$15:$E$58,3,FALSE),"")</f>
        <v/>
      </c>
      <c r="E133" s="238" t="str">
        <f>IFERROR(VLOOKUP($A133,'SCH D'!$C$15:$G$58,5,FALSE),"")</f>
        <v/>
      </c>
      <c r="F133" s="26" t="e">
        <f t="shared" si="11"/>
        <v>#VALUE!</v>
      </c>
    </row>
    <row r="134" spans="1:16" x14ac:dyDescent="0.25">
      <c r="A134" s="204" t="s">
        <v>247</v>
      </c>
      <c r="B134" s="204" t="s">
        <v>254</v>
      </c>
      <c r="C134" s="204" t="s">
        <v>29</v>
      </c>
      <c r="D134" s="223" t="str">
        <f>IFERROR(VLOOKUP($A134,'SCH D'!$C$15:$E$58,3,FALSE),"")</f>
        <v/>
      </c>
      <c r="E134" s="238" t="str">
        <f>IFERROR(VLOOKUP($A134,'SCH D'!$C$15:$G$58,5,FALSE),"")</f>
        <v/>
      </c>
      <c r="F134" s="26" t="e">
        <f t="shared" si="11"/>
        <v>#VALUE!</v>
      </c>
    </row>
    <row r="135" spans="1:16" x14ac:dyDescent="0.25">
      <c r="A135" s="205" t="s">
        <v>248</v>
      </c>
      <c r="B135" s="205" t="s">
        <v>255</v>
      </c>
      <c r="C135" s="205" t="s">
        <v>29</v>
      </c>
      <c r="D135" s="223" t="str">
        <f>IFERROR(VLOOKUP($A135,'SCH D'!$C$15:$E$58,3,FALSE),"")</f>
        <v/>
      </c>
      <c r="E135" s="238" t="str">
        <f>IFERROR(VLOOKUP($A135,'SCH D'!$C$15:$G$58,5,FALSE),"")</f>
        <v/>
      </c>
      <c r="F135" s="26" t="e">
        <f t="shared" si="11"/>
        <v>#VALUE!</v>
      </c>
    </row>
    <row r="136" spans="1:16" x14ac:dyDescent="0.25">
      <c r="A136" s="251" t="s">
        <v>418</v>
      </c>
      <c r="B136" s="252" t="s">
        <v>424</v>
      </c>
      <c r="C136" s="252" t="s">
        <v>197</v>
      </c>
      <c r="D136" s="223" t="str">
        <f>IFERROR(VLOOKUP($A136,'SCH D'!$C$15:$E$58,3,FALSE),"")</f>
        <v/>
      </c>
      <c r="E136" s="238" t="str">
        <f>IFERROR(VLOOKUP($A136,'SCH D'!$C$15:$G$58,5,FALSE),"")</f>
        <v/>
      </c>
      <c r="F136" s="26" t="str">
        <f>IF(ISNUMBER(D136),ROUND(E136*0.01,2),"-")</f>
        <v>-</v>
      </c>
    </row>
    <row r="137" spans="1:16" x14ac:dyDescent="0.25">
      <c r="A137" s="253" t="s">
        <v>419</v>
      </c>
      <c r="B137" s="254" t="s">
        <v>425</v>
      </c>
      <c r="C137" s="254" t="s">
        <v>197</v>
      </c>
      <c r="D137" s="223" t="str">
        <f>IFERROR(VLOOKUP($A137,'SCH D'!$C$15:$E$58,3,FALSE),"")</f>
        <v/>
      </c>
      <c r="E137" s="238" t="str">
        <f>IFERROR(VLOOKUP($A137,'SCH D'!$C$15:$G$58,5,FALSE),"")</f>
        <v/>
      </c>
      <c r="F137" s="26" t="str">
        <f t="shared" ref="F137:F138" si="12">IF(ISNUMBER(D137),ROUND(E137*0.01,2),"-")</f>
        <v>-</v>
      </c>
    </row>
    <row r="138" spans="1:16" x14ac:dyDescent="0.25">
      <c r="A138" s="251" t="s">
        <v>420</v>
      </c>
      <c r="B138" s="252" t="s">
        <v>426</v>
      </c>
      <c r="C138" s="252" t="s">
        <v>197</v>
      </c>
      <c r="D138" s="223" t="str">
        <f>IFERROR(VLOOKUP($A138,'SCH D'!$C$15:$E$58,3,FALSE),"")</f>
        <v/>
      </c>
      <c r="E138" s="238" t="str">
        <f>IFERROR(VLOOKUP($A138,'SCH D'!$C$15:$G$58,5,FALSE),"")</f>
        <v/>
      </c>
      <c r="F138" s="26" t="str">
        <f t="shared" si="12"/>
        <v>-</v>
      </c>
    </row>
    <row r="139" spans="1:16" x14ac:dyDescent="0.25">
      <c r="A139" s="253" t="s">
        <v>421</v>
      </c>
      <c r="B139" s="254" t="s">
        <v>424</v>
      </c>
      <c r="C139" s="254" t="s">
        <v>29</v>
      </c>
      <c r="D139" s="223" t="str">
        <f>IFERROR(VLOOKUP($A139,'SCH D'!$C$15:$E$58,3,FALSE),"")</f>
        <v/>
      </c>
      <c r="E139" s="238" t="str">
        <f>IFERROR(VLOOKUP($A139,'SCH D'!$C$15:$G$58,5,FALSE),"")</f>
        <v/>
      </c>
      <c r="F139" s="284">
        <v>0.08</v>
      </c>
    </row>
    <row r="140" spans="1:16" x14ac:dyDescent="0.25">
      <c r="A140" s="251" t="s">
        <v>422</v>
      </c>
      <c r="B140" s="252" t="s">
        <v>425</v>
      </c>
      <c r="C140" s="252" t="s">
        <v>29</v>
      </c>
      <c r="D140" s="223" t="str">
        <f>IFERROR(VLOOKUP($A140,'SCH D'!$C$15:$E$58,3,FALSE),"")</f>
        <v/>
      </c>
      <c r="E140" s="238" t="str">
        <f>IFERROR(VLOOKUP($A140,'SCH D'!$C$15:$G$58,5,FALSE),"")</f>
        <v/>
      </c>
      <c r="F140" s="284">
        <v>0.05</v>
      </c>
    </row>
    <row r="141" spans="1:16" x14ac:dyDescent="0.25">
      <c r="A141" s="253" t="s">
        <v>423</v>
      </c>
      <c r="B141" s="254" t="s">
        <v>426</v>
      </c>
      <c r="C141" s="254" t="s">
        <v>29</v>
      </c>
      <c r="D141" s="223" t="str">
        <f>IFERROR(VLOOKUP($A141,'SCH D'!$C$15:$E$58,3,FALSE),"")</f>
        <v/>
      </c>
      <c r="E141" s="238" t="str">
        <f>IFERROR(VLOOKUP($A141,'SCH D'!$C$15:$G$58,5,FALSE),"")</f>
        <v/>
      </c>
      <c r="F141" s="284">
        <v>0.05</v>
      </c>
    </row>
    <row r="142" spans="1:16" x14ac:dyDescent="0.25">
      <c r="A142" s="251" t="s">
        <v>450</v>
      </c>
      <c r="B142" s="252" t="s">
        <v>424</v>
      </c>
      <c r="C142" s="252" t="s">
        <v>197</v>
      </c>
      <c r="D142" s="223" t="str">
        <f>IFERROR(VLOOKUP($A142,'SCH D'!$C$15:$E$58,3,FALSE),"")</f>
        <v/>
      </c>
      <c r="E142" s="238" t="str">
        <f>IFERROR(VLOOKUP($A142,'SCH D'!$C$15:$G$58,5,FALSE),"")</f>
        <v/>
      </c>
      <c r="F142" s="26" t="str">
        <f>IF(ISNUMBER(D142),ROUND(E142*0.01,2),"-")</f>
        <v>-</v>
      </c>
      <c r="P142" t="s">
        <v>454</v>
      </c>
    </row>
    <row r="143" spans="1:16" x14ac:dyDescent="0.25">
      <c r="A143" s="253" t="s">
        <v>451</v>
      </c>
      <c r="B143" s="254" t="s">
        <v>424</v>
      </c>
      <c r="C143" s="254" t="s">
        <v>29</v>
      </c>
      <c r="D143" s="223" t="str">
        <f>IFERROR(VLOOKUP($A143,'SCH D'!$C$15:$E$58,3,FALSE),"")</f>
        <v/>
      </c>
      <c r="E143" s="238" t="str">
        <f>IFERROR(VLOOKUP($A143,'SCH D'!$C$15:$G$58,5,FALSE),"")</f>
        <v/>
      </c>
      <c r="F143" s="284">
        <v>0.08</v>
      </c>
      <c r="P143" t="s">
        <v>455</v>
      </c>
    </row>
    <row r="144" spans="1:16" hidden="1" x14ac:dyDescent="0.25">
      <c r="A144" s="215" t="s">
        <v>297</v>
      </c>
      <c r="B144" s="216" t="s">
        <v>318</v>
      </c>
      <c r="C144" s="217" t="s">
        <v>197</v>
      </c>
      <c r="D144" s="223" t="str">
        <f>IFERROR(VLOOKUP($A144,#REF!,3,FALSE),"")</f>
        <v/>
      </c>
      <c r="E144" s="238" t="str">
        <f>IFERROR(VLOOKUP($A144,#REF!,5,FALSE),"")</f>
        <v/>
      </c>
    </row>
    <row r="145" spans="1:5" hidden="1" x14ac:dyDescent="0.25">
      <c r="A145" s="205" t="s">
        <v>298</v>
      </c>
      <c r="B145" s="205" t="s">
        <v>319</v>
      </c>
      <c r="C145" s="207" t="s">
        <v>197</v>
      </c>
      <c r="D145" s="223" t="str">
        <f>IFERROR(VLOOKUP($A145,#REF!,3,FALSE),"")</f>
        <v/>
      </c>
      <c r="E145" s="238" t="str">
        <f>IFERROR(VLOOKUP($A145,#REF!,5,FALSE),"")</f>
        <v/>
      </c>
    </row>
    <row r="146" spans="1:5" hidden="1" x14ac:dyDescent="0.25">
      <c r="A146" s="204" t="s">
        <v>299</v>
      </c>
      <c r="B146" s="204" t="s">
        <v>320</v>
      </c>
      <c r="C146" s="206" t="s">
        <v>197</v>
      </c>
      <c r="D146" s="223" t="str">
        <f>IFERROR(VLOOKUP($A146,#REF!,3,FALSE),"")</f>
        <v/>
      </c>
      <c r="E146" s="238" t="str">
        <f>IFERROR(VLOOKUP($A146,#REF!,5,FALSE),"")</f>
        <v/>
      </c>
    </row>
    <row r="147" spans="1:5" hidden="1" x14ac:dyDescent="0.25">
      <c r="A147" s="205" t="s">
        <v>300</v>
      </c>
      <c r="B147" s="205" t="s">
        <v>321</v>
      </c>
      <c r="C147" s="207" t="s">
        <v>197</v>
      </c>
      <c r="D147" s="223" t="str">
        <f>IFERROR(VLOOKUP($A147,#REF!,3,FALSE),"")</f>
        <v/>
      </c>
      <c r="E147" s="238" t="str">
        <f>IFERROR(VLOOKUP($A147,#REF!,5,FALSE),"")</f>
        <v/>
      </c>
    </row>
    <row r="148" spans="1:5" hidden="1" x14ac:dyDescent="0.25">
      <c r="A148" s="204" t="s">
        <v>301</v>
      </c>
      <c r="B148" s="204" t="s">
        <v>322</v>
      </c>
      <c r="C148" s="206" t="s">
        <v>197</v>
      </c>
      <c r="D148" s="223" t="str">
        <f>IFERROR(VLOOKUP($A148,#REF!,3,FALSE),"")</f>
        <v/>
      </c>
      <c r="E148" s="238" t="str">
        <f>IFERROR(VLOOKUP($A148,#REF!,5,FALSE),"")</f>
        <v/>
      </c>
    </row>
    <row r="149" spans="1:5" hidden="1" x14ac:dyDescent="0.25">
      <c r="A149" s="205" t="s">
        <v>302</v>
      </c>
      <c r="B149" s="205" t="s">
        <v>323</v>
      </c>
      <c r="C149" s="207" t="s">
        <v>197</v>
      </c>
      <c r="D149" s="223" t="str">
        <f>IFERROR(VLOOKUP($A149,#REF!,3,FALSE),"")</f>
        <v/>
      </c>
      <c r="E149" s="238" t="str">
        <f>IFERROR(VLOOKUP($A149,#REF!,5,FALSE),"")</f>
        <v/>
      </c>
    </row>
    <row r="150" spans="1:5" hidden="1" x14ac:dyDescent="0.25">
      <c r="A150" s="204" t="s">
        <v>303</v>
      </c>
      <c r="B150" s="204" t="s">
        <v>324</v>
      </c>
      <c r="C150" s="206" t="s">
        <v>197</v>
      </c>
      <c r="D150" s="223" t="str">
        <f>IFERROR(VLOOKUP($A150,#REF!,3,FALSE),"")</f>
        <v/>
      </c>
      <c r="E150" s="238" t="str">
        <f>IFERROR(VLOOKUP($A150,#REF!,5,FALSE),"")</f>
        <v/>
      </c>
    </row>
    <row r="151" spans="1:5" hidden="1" x14ac:dyDescent="0.25">
      <c r="A151" s="205" t="s">
        <v>304</v>
      </c>
      <c r="B151" s="205" t="s">
        <v>325</v>
      </c>
      <c r="C151" s="207" t="s">
        <v>197</v>
      </c>
      <c r="D151" s="223" t="str">
        <f>IFERROR(VLOOKUP($A151,#REF!,3,FALSE),"")</f>
        <v/>
      </c>
      <c r="E151" s="238" t="str">
        <f>IFERROR(VLOOKUP($A151,#REF!,5,FALSE),"")</f>
        <v/>
      </c>
    </row>
    <row r="152" spans="1:5" hidden="1" x14ac:dyDescent="0.25">
      <c r="A152" s="204" t="s">
        <v>305</v>
      </c>
      <c r="B152" s="204" t="s">
        <v>326</v>
      </c>
      <c r="C152" s="206" t="s">
        <v>197</v>
      </c>
      <c r="D152" s="223" t="str">
        <f>IFERROR(VLOOKUP($A152,#REF!,3,FALSE),"")</f>
        <v/>
      </c>
      <c r="E152" s="238" t="str">
        <f>IFERROR(VLOOKUP($A152,#REF!,5,FALSE),"")</f>
        <v/>
      </c>
    </row>
    <row r="153" spans="1:5" hidden="1" x14ac:dyDescent="0.25">
      <c r="A153" s="205" t="s">
        <v>306</v>
      </c>
      <c r="B153" s="205" t="s">
        <v>327</v>
      </c>
      <c r="C153" s="207" t="s">
        <v>197</v>
      </c>
      <c r="D153" s="223" t="str">
        <f>IFERROR(VLOOKUP($A153,#REF!,3,FALSE),"")</f>
        <v/>
      </c>
      <c r="E153" s="238" t="str">
        <f>IFERROR(VLOOKUP($A153,#REF!,5,FALSE),"")</f>
        <v/>
      </c>
    </row>
    <row r="154" spans="1:5" hidden="1" x14ac:dyDescent="0.25">
      <c r="A154" s="204" t="s">
        <v>307</v>
      </c>
      <c r="B154" s="204" t="s">
        <v>328</v>
      </c>
      <c r="C154" s="206" t="s">
        <v>197</v>
      </c>
      <c r="D154" s="223" t="str">
        <f>IFERROR(VLOOKUP($A154,#REF!,3,FALSE),"")</f>
        <v/>
      </c>
      <c r="E154" s="238" t="str">
        <f>IFERROR(VLOOKUP($A154,#REF!,5,FALSE),"")</f>
        <v/>
      </c>
    </row>
    <row r="155" spans="1:5" hidden="1" x14ac:dyDescent="0.25">
      <c r="A155" s="205" t="s">
        <v>308</v>
      </c>
      <c r="B155" s="205" t="s">
        <v>329</v>
      </c>
      <c r="C155" s="207" t="s">
        <v>197</v>
      </c>
      <c r="D155" s="223" t="str">
        <f>IFERROR(VLOOKUP($A155,#REF!,3,FALSE),"")</f>
        <v/>
      </c>
      <c r="E155" s="238" t="str">
        <f>IFERROR(VLOOKUP($A155,#REF!,5,FALSE),"")</f>
        <v/>
      </c>
    </row>
    <row r="156" spans="1:5" hidden="1" x14ac:dyDescent="0.25">
      <c r="A156" s="204" t="s">
        <v>309</v>
      </c>
      <c r="B156" s="204" t="s">
        <v>330</v>
      </c>
      <c r="C156" s="206" t="s">
        <v>197</v>
      </c>
      <c r="D156" s="223" t="str">
        <f>IFERROR(VLOOKUP($A156,#REF!,3,FALSE),"")</f>
        <v/>
      </c>
      <c r="E156" s="238" t="str">
        <f>IFERROR(VLOOKUP($A156,#REF!,5,FALSE),"")</f>
        <v/>
      </c>
    </row>
    <row r="157" spans="1:5" hidden="1" x14ac:dyDescent="0.25">
      <c r="A157" s="205" t="s">
        <v>310</v>
      </c>
      <c r="B157" s="205" t="s">
        <v>331</v>
      </c>
      <c r="C157" s="207" t="s">
        <v>197</v>
      </c>
      <c r="D157" s="223" t="str">
        <f>IFERROR(VLOOKUP($A157,#REF!,3,FALSE),"")</f>
        <v/>
      </c>
      <c r="E157" s="238" t="str">
        <f>IFERROR(VLOOKUP($A157,#REF!,5,FALSE),"")</f>
        <v/>
      </c>
    </row>
    <row r="158" spans="1:5" hidden="1" x14ac:dyDescent="0.25">
      <c r="A158" s="204" t="s">
        <v>311</v>
      </c>
      <c r="B158" s="204" t="s">
        <v>332</v>
      </c>
      <c r="C158" s="206" t="s">
        <v>197</v>
      </c>
      <c r="D158" s="223" t="str">
        <f>IFERROR(VLOOKUP($A158,#REF!,3,FALSE),"")</f>
        <v/>
      </c>
      <c r="E158" s="238" t="str">
        <f>IFERROR(VLOOKUP($A158,#REF!,5,FALSE),"")</f>
        <v/>
      </c>
    </row>
    <row r="159" spans="1:5" hidden="1" x14ac:dyDescent="0.25">
      <c r="A159" s="205" t="s">
        <v>312</v>
      </c>
      <c r="B159" s="205" t="s">
        <v>333</v>
      </c>
      <c r="C159" s="207" t="s">
        <v>197</v>
      </c>
      <c r="D159" s="223" t="str">
        <f>IFERROR(VLOOKUP($A159,#REF!,3,FALSE),"")</f>
        <v/>
      </c>
      <c r="E159" s="238" t="str">
        <f>IFERROR(VLOOKUP($A159,#REF!,5,FALSE),"")</f>
        <v/>
      </c>
    </row>
    <row r="160" spans="1:5" hidden="1" x14ac:dyDescent="0.25">
      <c r="A160" s="204" t="s">
        <v>313</v>
      </c>
      <c r="B160" s="204" t="s">
        <v>334</v>
      </c>
      <c r="C160" s="206" t="s">
        <v>197</v>
      </c>
      <c r="D160" s="223" t="str">
        <f>IFERROR(VLOOKUP($A160,#REF!,3,FALSE),"")</f>
        <v/>
      </c>
      <c r="E160" s="238" t="str">
        <f>IFERROR(VLOOKUP($A160,#REF!,5,FALSE),"")</f>
        <v/>
      </c>
    </row>
    <row r="161" spans="1:5" hidden="1" x14ac:dyDescent="0.25">
      <c r="A161" s="205" t="s">
        <v>314</v>
      </c>
      <c r="B161" s="205" t="s">
        <v>335</v>
      </c>
      <c r="C161" s="207" t="s">
        <v>197</v>
      </c>
      <c r="D161" s="223" t="str">
        <f>IFERROR(VLOOKUP($A161,#REF!,3,FALSE),"")</f>
        <v/>
      </c>
      <c r="E161" s="238" t="str">
        <f>IFERROR(VLOOKUP($A161,#REF!,5,FALSE),"")</f>
        <v/>
      </c>
    </row>
    <row r="162" spans="1:5" hidden="1" x14ac:dyDescent="0.25">
      <c r="A162" s="204" t="s">
        <v>315</v>
      </c>
      <c r="B162" s="204" t="s">
        <v>336</v>
      </c>
      <c r="C162" s="206" t="s">
        <v>197</v>
      </c>
      <c r="D162" s="223" t="str">
        <f>IFERROR(VLOOKUP($A162,#REF!,3,FALSE),"")</f>
        <v/>
      </c>
      <c r="E162" s="238" t="str">
        <f>IFERROR(VLOOKUP($A162,#REF!,5,FALSE),"")</f>
        <v/>
      </c>
    </row>
    <row r="163" spans="1:5" hidden="1" x14ac:dyDescent="0.25">
      <c r="A163" s="205" t="s">
        <v>316</v>
      </c>
      <c r="B163" s="205" t="s">
        <v>337</v>
      </c>
      <c r="C163" s="207" t="s">
        <v>197</v>
      </c>
      <c r="D163" s="223" t="str">
        <f>IFERROR(VLOOKUP($A163,#REF!,3,FALSE),"")</f>
        <v/>
      </c>
      <c r="E163" s="238" t="str">
        <f>IFERROR(VLOOKUP($A163,#REF!,5,FALSE),"")</f>
        <v/>
      </c>
    </row>
    <row r="164" spans="1:5" hidden="1" x14ac:dyDescent="0.25">
      <c r="A164" s="204" t="s">
        <v>317</v>
      </c>
      <c r="B164" s="204" t="s">
        <v>338</v>
      </c>
      <c r="C164" s="206" t="s">
        <v>197</v>
      </c>
      <c r="D164" s="223" t="str">
        <f>IFERROR(VLOOKUP($A164,#REF!,3,FALSE),"")</f>
        <v/>
      </c>
      <c r="E164" s="238" t="str">
        <f>IFERROR(VLOOKUP($A164,#REF!,5,FALSE),"")</f>
        <v/>
      </c>
    </row>
    <row r="165" spans="1:5" hidden="1" x14ac:dyDescent="0.25">
      <c r="A165" s="205" t="s">
        <v>339</v>
      </c>
      <c r="B165" s="205" t="s">
        <v>347</v>
      </c>
      <c r="C165" s="205" t="s">
        <v>197</v>
      </c>
      <c r="D165" s="223" t="str">
        <f>IFERROR(VLOOKUP($A165,#REF!,3,FALSE),"")</f>
        <v/>
      </c>
      <c r="E165" s="238" t="str">
        <f>IFERROR(VLOOKUP($A165,#REF!,5,FALSE),"")</f>
        <v/>
      </c>
    </row>
    <row r="166" spans="1:5" hidden="1" x14ac:dyDescent="0.25">
      <c r="A166" s="204" t="s">
        <v>340</v>
      </c>
      <c r="B166" s="204" t="s">
        <v>348</v>
      </c>
      <c r="C166" s="204" t="s">
        <v>197</v>
      </c>
      <c r="D166" s="223" t="str">
        <f>IFERROR(VLOOKUP($A166,#REF!,3,FALSE),"")</f>
        <v/>
      </c>
      <c r="E166" s="238" t="str">
        <f>IFERROR(VLOOKUP($A166,#REF!,5,FALSE),"")</f>
        <v/>
      </c>
    </row>
    <row r="167" spans="1:5" hidden="1" x14ac:dyDescent="0.25">
      <c r="A167" s="205" t="s">
        <v>341</v>
      </c>
      <c r="B167" s="205" t="s">
        <v>349</v>
      </c>
      <c r="C167" s="205" t="s">
        <v>197</v>
      </c>
      <c r="D167" s="223" t="str">
        <f>IFERROR(VLOOKUP($A167,#REF!,3,FALSE),"")</f>
        <v/>
      </c>
      <c r="E167" s="238" t="str">
        <f>IFERROR(VLOOKUP($A167,#REF!,5,FALSE),"")</f>
        <v/>
      </c>
    </row>
    <row r="168" spans="1:5" hidden="1" x14ac:dyDescent="0.25">
      <c r="A168" s="204" t="s">
        <v>342</v>
      </c>
      <c r="B168" s="204" t="s">
        <v>350</v>
      </c>
      <c r="C168" s="204" t="s">
        <v>197</v>
      </c>
      <c r="D168" s="223" t="str">
        <f>IFERROR(VLOOKUP($A168,#REF!,3,FALSE),"")</f>
        <v/>
      </c>
      <c r="E168" s="238" t="str">
        <f>IFERROR(VLOOKUP($A168,#REF!,5,FALSE),"")</f>
        <v/>
      </c>
    </row>
    <row r="169" spans="1:5" hidden="1" x14ac:dyDescent="0.25">
      <c r="A169" s="205" t="s">
        <v>343</v>
      </c>
      <c r="B169" s="205" t="s">
        <v>351</v>
      </c>
      <c r="C169" s="205" t="s">
        <v>197</v>
      </c>
      <c r="D169" s="223" t="str">
        <f>IFERROR(VLOOKUP($A169,#REF!,3,FALSE),"")</f>
        <v/>
      </c>
      <c r="E169" s="238" t="str">
        <f>IFERROR(VLOOKUP($A169,#REF!,5,FALSE),"")</f>
        <v/>
      </c>
    </row>
    <row r="170" spans="1:5" hidden="1" x14ac:dyDescent="0.25">
      <c r="A170" s="204" t="s">
        <v>344</v>
      </c>
      <c r="B170" s="204" t="s">
        <v>352</v>
      </c>
      <c r="C170" s="204" t="s">
        <v>197</v>
      </c>
      <c r="D170" s="223" t="str">
        <f>IFERROR(VLOOKUP($A170,#REF!,3,FALSE),"")</f>
        <v/>
      </c>
      <c r="E170" s="238" t="str">
        <f>IFERROR(VLOOKUP($A170,#REF!,5,FALSE),"")</f>
        <v/>
      </c>
    </row>
    <row r="171" spans="1:5" hidden="1" x14ac:dyDescent="0.25">
      <c r="A171" s="205" t="s">
        <v>345</v>
      </c>
      <c r="B171" s="205" t="s">
        <v>353</v>
      </c>
      <c r="C171" s="205" t="s">
        <v>197</v>
      </c>
      <c r="D171" s="223" t="str">
        <f>IFERROR(VLOOKUP($A171,#REF!,3,FALSE),"")</f>
        <v/>
      </c>
      <c r="E171" s="238" t="str">
        <f>IFERROR(VLOOKUP($A171,#REF!,5,FALSE),"")</f>
        <v/>
      </c>
    </row>
    <row r="172" spans="1:5" hidden="1" x14ac:dyDescent="0.25">
      <c r="A172" s="204" t="s">
        <v>346</v>
      </c>
      <c r="B172" s="204" t="s">
        <v>354</v>
      </c>
      <c r="C172" s="204" t="s">
        <v>197</v>
      </c>
      <c r="D172" s="223" t="str">
        <f>IFERROR(VLOOKUP($A172,#REF!,3,FALSE),"")</f>
        <v/>
      </c>
      <c r="E172" s="238" t="str">
        <f>IFERROR(VLOOKUP($A172,#REF!,5,FALSE),"")</f>
        <v/>
      </c>
    </row>
    <row r="173" spans="1:5" ht="26.25" hidden="1" x14ac:dyDescent="0.25">
      <c r="A173" s="215" t="s">
        <v>297</v>
      </c>
      <c r="B173" s="221" t="s">
        <v>318</v>
      </c>
      <c r="C173" s="217" t="s">
        <v>197</v>
      </c>
      <c r="D173" s="223" t="str">
        <f>IFERROR(VLOOKUP($A173,#REF!,3,FALSE),"")</f>
        <v/>
      </c>
      <c r="E173" s="238" t="str">
        <f>IFERROR(VLOOKUP($A173,#REF!,5,FALSE),"")</f>
        <v/>
      </c>
    </row>
    <row r="174" spans="1:5" ht="26.25" hidden="1" x14ac:dyDescent="0.25">
      <c r="A174" s="205" t="s">
        <v>298</v>
      </c>
      <c r="B174" s="212" t="s">
        <v>319</v>
      </c>
      <c r="C174" s="207" t="s">
        <v>197</v>
      </c>
      <c r="D174" s="223" t="str">
        <f>IFERROR(VLOOKUP($A174,#REF!,3,FALSE),"")</f>
        <v/>
      </c>
      <c r="E174" s="238" t="str">
        <f>IFERROR(VLOOKUP($A174,#REF!,5,FALSE),"")</f>
        <v/>
      </c>
    </row>
    <row r="175" spans="1:5" ht="26.25" hidden="1" x14ac:dyDescent="0.25">
      <c r="A175" s="204" t="s">
        <v>299</v>
      </c>
      <c r="B175" s="213" t="s">
        <v>320</v>
      </c>
      <c r="C175" s="206" t="s">
        <v>197</v>
      </c>
      <c r="D175" s="223" t="str">
        <f>IFERROR(VLOOKUP($A175,#REF!,3,FALSE),"")</f>
        <v/>
      </c>
      <c r="E175" s="238" t="str">
        <f>IFERROR(VLOOKUP($A175,#REF!,5,FALSE),"")</f>
        <v/>
      </c>
    </row>
    <row r="176" spans="1:5" ht="26.25" hidden="1" x14ac:dyDescent="0.25">
      <c r="A176" s="205" t="s">
        <v>300</v>
      </c>
      <c r="B176" s="212" t="s">
        <v>321</v>
      </c>
      <c r="C176" s="207" t="s">
        <v>197</v>
      </c>
      <c r="D176" s="223" t="str">
        <f>IFERROR(VLOOKUP($A176,#REF!,3,FALSE),"")</f>
        <v/>
      </c>
      <c r="E176" s="238" t="str">
        <f>IFERROR(VLOOKUP($A176,#REF!,5,FALSE),"")</f>
        <v/>
      </c>
    </row>
    <row r="177" spans="1:5" ht="26.25" hidden="1" x14ac:dyDescent="0.25">
      <c r="A177" s="204" t="s">
        <v>301</v>
      </c>
      <c r="B177" s="213" t="s">
        <v>322</v>
      </c>
      <c r="C177" s="206" t="s">
        <v>197</v>
      </c>
      <c r="D177" s="223" t="str">
        <f>IFERROR(VLOOKUP($A177,#REF!,3,FALSE),"")</f>
        <v/>
      </c>
      <c r="E177" s="238" t="str">
        <f>IFERROR(VLOOKUP($A177,#REF!,5,FALSE),"")</f>
        <v/>
      </c>
    </row>
    <row r="178" spans="1:5" ht="26.25" hidden="1" x14ac:dyDescent="0.25">
      <c r="A178" s="205" t="s">
        <v>302</v>
      </c>
      <c r="B178" s="212" t="s">
        <v>323</v>
      </c>
      <c r="C178" s="207" t="s">
        <v>197</v>
      </c>
      <c r="D178" s="223" t="str">
        <f>IFERROR(VLOOKUP($A178,#REF!,3,FALSE),"")</f>
        <v/>
      </c>
      <c r="E178" s="238" t="str">
        <f>IFERROR(VLOOKUP($A178,#REF!,5,FALSE),"")</f>
        <v/>
      </c>
    </row>
    <row r="179" spans="1:5" ht="26.25" hidden="1" x14ac:dyDescent="0.25">
      <c r="A179" s="204" t="s">
        <v>303</v>
      </c>
      <c r="B179" s="213" t="s">
        <v>324</v>
      </c>
      <c r="C179" s="206" t="s">
        <v>197</v>
      </c>
      <c r="D179" s="223" t="str">
        <f>IFERROR(VLOOKUP($A179,#REF!,3,FALSE),"")</f>
        <v/>
      </c>
      <c r="E179" s="238" t="str">
        <f>IFERROR(VLOOKUP($A179,#REF!,5,FALSE),"")</f>
        <v/>
      </c>
    </row>
    <row r="180" spans="1:5" ht="26.25" hidden="1" x14ac:dyDescent="0.25">
      <c r="A180" s="205" t="s">
        <v>310</v>
      </c>
      <c r="B180" s="212" t="s">
        <v>331</v>
      </c>
      <c r="C180" s="207" t="s">
        <v>197</v>
      </c>
      <c r="D180" s="223" t="str">
        <f>IFERROR(VLOOKUP($A180,#REF!,3,FALSE),"")</f>
        <v/>
      </c>
      <c r="E180" s="238" t="str">
        <f>IFERROR(VLOOKUP($A180,#REF!,5,FALSE),"")</f>
        <v/>
      </c>
    </row>
    <row r="181" spans="1:5" ht="26.25" hidden="1" x14ac:dyDescent="0.25">
      <c r="A181" s="204" t="s">
        <v>311</v>
      </c>
      <c r="B181" s="213" t="s">
        <v>332</v>
      </c>
      <c r="C181" s="206" t="s">
        <v>197</v>
      </c>
      <c r="D181" s="223" t="str">
        <f>IFERROR(VLOOKUP($A181,#REF!,3,FALSE),"")</f>
        <v/>
      </c>
      <c r="E181" s="238" t="str">
        <f>IFERROR(VLOOKUP($A181,#REF!,5,FALSE),"")</f>
        <v/>
      </c>
    </row>
    <row r="182" spans="1:5" ht="26.25" hidden="1" x14ac:dyDescent="0.25">
      <c r="A182" s="205" t="s">
        <v>312</v>
      </c>
      <c r="B182" s="212" t="s">
        <v>333</v>
      </c>
      <c r="C182" s="207" t="s">
        <v>197</v>
      </c>
      <c r="D182" s="223" t="str">
        <f>IFERROR(VLOOKUP($A182,#REF!,3,FALSE),"")</f>
        <v/>
      </c>
      <c r="E182" s="238" t="str">
        <f>IFERROR(VLOOKUP($A182,#REF!,5,FALSE),"")</f>
        <v/>
      </c>
    </row>
    <row r="183" spans="1:5" hidden="1" x14ac:dyDescent="0.25">
      <c r="A183" s="205" t="s">
        <v>339</v>
      </c>
      <c r="B183" s="205" t="s">
        <v>347</v>
      </c>
      <c r="C183" s="205" t="s">
        <v>197</v>
      </c>
      <c r="D183" s="223" t="str">
        <f>IFERROR(VLOOKUP($A183,#REF!,3,FALSE),"")</f>
        <v/>
      </c>
      <c r="E183" s="238" t="str">
        <f>IFERROR(VLOOKUP($A183,#REF!,5,FALSE),"")</f>
        <v/>
      </c>
    </row>
    <row r="184" spans="1:5" hidden="1" x14ac:dyDescent="0.25">
      <c r="A184" s="204" t="s">
        <v>340</v>
      </c>
      <c r="B184" s="204" t="s">
        <v>348</v>
      </c>
      <c r="C184" s="204" t="s">
        <v>197</v>
      </c>
      <c r="D184" s="223" t="str">
        <f>IFERROR(VLOOKUP($A184,#REF!,3,FALSE),"")</f>
        <v/>
      </c>
      <c r="E184" s="238" t="str">
        <f>IFERROR(VLOOKUP($A184,#REF!,5,FALSE),"")</f>
        <v/>
      </c>
    </row>
    <row r="185" spans="1:5" hidden="1" x14ac:dyDescent="0.25">
      <c r="A185" s="205" t="s">
        <v>341</v>
      </c>
      <c r="B185" s="205" t="s">
        <v>349</v>
      </c>
      <c r="C185" s="205" t="s">
        <v>197</v>
      </c>
      <c r="D185" s="223" t="str">
        <f>IFERROR(VLOOKUP($A185,#REF!,3,FALSE),"")</f>
        <v/>
      </c>
      <c r="E185" s="238" t="str">
        <f>IFERROR(VLOOKUP($A185,#REF!,5,FALSE),"")</f>
        <v/>
      </c>
    </row>
    <row r="186" spans="1:5" hidden="1" x14ac:dyDescent="0.25">
      <c r="A186" s="204" t="s">
        <v>342</v>
      </c>
      <c r="B186" s="204" t="s">
        <v>350</v>
      </c>
      <c r="C186" s="204" t="s">
        <v>197</v>
      </c>
      <c r="D186" s="223" t="str">
        <f>IFERROR(VLOOKUP($A186,#REF!,3,FALSE),"")</f>
        <v/>
      </c>
      <c r="E186" s="238" t="str">
        <f>IFERROR(VLOOKUP($A186,#REF!,5,FALSE),"")</f>
        <v/>
      </c>
    </row>
    <row r="187" spans="1:5" ht="18.600000000000001" hidden="1" customHeight="1" x14ac:dyDescent="0.25">
      <c r="A187" s="205" t="s">
        <v>343</v>
      </c>
      <c r="B187" s="205" t="s">
        <v>351</v>
      </c>
      <c r="C187" s="205" t="s">
        <v>197</v>
      </c>
      <c r="D187" s="223" t="str">
        <f>IFERROR(VLOOKUP($A187,#REF!,3,FALSE),"")</f>
        <v/>
      </c>
      <c r="E187" s="238" t="str">
        <f>IFERROR(VLOOKUP($A187,#REF!,5,FALSE),"")</f>
        <v/>
      </c>
    </row>
    <row r="188" spans="1:5" ht="20.45" hidden="1" customHeight="1" x14ac:dyDescent="0.25">
      <c r="A188" s="204" t="s">
        <v>344</v>
      </c>
      <c r="B188" s="204" t="s">
        <v>352</v>
      </c>
      <c r="C188" s="204" t="s">
        <v>197</v>
      </c>
      <c r="D188" s="223" t="str">
        <f>IFERROR(VLOOKUP($A188,#REF!,3,FALSE),"")</f>
        <v/>
      </c>
      <c r="E188" s="238" t="str">
        <f>IFERROR(VLOOKUP($A188,#REF!,5,FALSE),"")</f>
        <v/>
      </c>
    </row>
  </sheetData>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Instructions</vt:lpstr>
      <vt:lpstr>SCH A</vt:lpstr>
      <vt:lpstr>inputSchA</vt:lpstr>
      <vt:lpstr>SCH B</vt:lpstr>
      <vt:lpstr>inputSchB</vt:lpstr>
      <vt:lpstr>SCH C</vt:lpstr>
      <vt:lpstr>inputSchC</vt:lpstr>
      <vt:lpstr>SCH D</vt:lpstr>
      <vt:lpstr>inputSchD</vt:lpstr>
      <vt:lpstr>SCH E</vt:lpstr>
      <vt:lpstr>inputSchE</vt:lpstr>
      <vt:lpstr>SCH F</vt:lpstr>
      <vt:lpstr>inputSchF</vt:lpstr>
      <vt:lpstr>Acquisition Incentive Summary</vt:lpstr>
      <vt:lpstr>VLookup table</vt:lpstr>
      <vt:lpstr>'SCH B'!FP</vt:lpstr>
      <vt:lpstr>'SCH C'!FP</vt:lpstr>
      <vt:lpstr>'SCH D'!FP</vt:lpstr>
      <vt:lpstr>'SCH E'!FP</vt:lpstr>
      <vt:lpstr>'SCH F'!FP</vt:lpstr>
      <vt:lpstr>FP</vt:lpstr>
      <vt:lpstr>'SCH A'!Print_Area</vt:lpstr>
      <vt:lpstr>'SCH B'!Print_Area</vt:lpstr>
      <vt:lpstr>'SCH C'!Print_Area</vt:lpstr>
      <vt:lpstr>'SCH D'!Print_Area</vt:lpstr>
      <vt:lpstr>'SCH E'!Print_Area</vt:lpstr>
      <vt:lpstr>'SCH F'!Print_Area</vt:lpstr>
      <vt:lpstr>'SCH B'!Units</vt:lpstr>
      <vt:lpstr>'SCH C'!Units</vt:lpstr>
      <vt:lpstr>'SCH D'!Units</vt:lpstr>
      <vt:lpstr>'SCH E'!Units</vt:lpstr>
      <vt:lpstr>'SCH F'!Units</vt:lpstr>
      <vt:lpstr>Units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Kwock</dc:creator>
  <cp:lastModifiedBy>Ouhssayne, Lahoucine lo. (FHWA)</cp:lastModifiedBy>
  <cp:lastPrinted>2018-10-11T15:07:40Z</cp:lastPrinted>
  <dcterms:created xsi:type="dcterms:W3CDTF">2013-04-09T17:16:13Z</dcterms:created>
  <dcterms:modified xsi:type="dcterms:W3CDTF">2026-01-14T16:16:34Z</dcterms:modified>
</cp:coreProperties>
</file>