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z_Incentive spreadsheets\FP14 FP03 US Met incentives\"/>
    </mc:Choice>
  </mc:AlternateContent>
  <workbookProtection lockStructure="1"/>
  <bookViews>
    <workbookView xWindow="0" yWindow="0" windowWidth="23040" windowHeight="9390"/>
  </bookViews>
  <sheets>
    <sheet name="Sheet1" sheetId="1" r:id="rId1"/>
    <sheet name="Sheet2" sheetId="13" r:id="rId2"/>
    <sheet name="Sheet3" sheetId="6" r:id="rId3"/>
    <sheet name="Sheet4" sheetId="10" r:id="rId4"/>
    <sheet name="Sheet5" sheetId="11" r:id="rId5"/>
    <sheet name="Sheet6" sheetId="12" r:id="rId6"/>
    <sheet name="Acquisition Incentive Summary" sheetId="5" r:id="rId7"/>
    <sheet name="VLookup table" sheetId="2" state="hidden" r:id="rId8"/>
  </sheets>
  <definedNames>
    <definedName name="_xlnm._FilterDatabase" localSheetId="7" hidden="1">'VLookup table'!$H$1:$H$56</definedName>
    <definedName name="FP" localSheetId="1">Sheet2!$D$2</definedName>
    <definedName name="FP" localSheetId="2">Sheet3!$D$2</definedName>
    <definedName name="FP" localSheetId="3">Sheet4!$D$2</definedName>
    <definedName name="FP" localSheetId="4">Sheet5!$D$2</definedName>
    <definedName name="FP" localSheetId="5">Sheet6!$D$2</definedName>
    <definedName name="FP">Sheet1!$D$2</definedName>
    <definedName name="_xlnm.Print_Area" localSheetId="0">Sheet1!$A$1:$H$185</definedName>
    <definedName name="_xlnm.Print_Area" localSheetId="1">Sheet2!$A$1:$H$185</definedName>
    <definedName name="_xlnm.Print_Area" localSheetId="2">Sheet3!$A$1:$H$185</definedName>
    <definedName name="_xlnm.Print_Area" localSheetId="3">Sheet4!$A$1:$H$185</definedName>
    <definedName name="_xlnm.Print_Area" localSheetId="4">Sheet5!$A$1:$H$185</definedName>
    <definedName name="_xlnm.Print_Area" localSheetId="5">Sheet6!$A$1:$H$185</definedName>
    <definedName name="Units" localSheetId="1">Sheet2!$H$8</definedName>
    <definedName name="Units" localSheetId="2">Sheet3!$H$8</definedName>
    <definedName name="Units" localSheetId="3">Sheet4!$H$8</definedName>
    <definedName name="Units" localSheetId="4">Sheet5!$H$8</definedName>
    <definedName name="Units" localSheetId="5">Sheet6!$H$8</definedName>
    <definedName name="Units">Sheet1!$H$8</definedName>
  </definedNames>
  <calcPr calcId="171027"/>
</workbook>
</file>

<file path=xl/calcChain.xml><?xml version="1.0" encoding="utf-8"?>
<calcChain xmlns="http://schemas.openxmlformats.org/spreadsheetml/2006/main">
  <c r="I13" i="5" l="1"/>
  <c r="H13" i="5"/>
  <c r="G13" i="5"/>
  <c r="F13" i="5"/>
  <c r="E22" i="5"/>
  <c r="E21" i="5"/>
  <c r="E20" i="5"/>
  <c r="E19" i="5"/>
  <c r="E13" i="5"/>
  <c r="E14" i="5" l="1"/>
  <c r="F177" i="13" l="1"/>
  <c r="F173" i="13"/>
  <c r="F171" i="13"/>
  <c r="F160" i="13"/>
  <c r="F154" i="13"/>
  <c r="F147" i="13"/>
  <c r="B147" i="13"/>
  <c r="A147" i="13"/>
  <c r="F146" i="13"/>
  <c r="C146" i="13"/>
  <c r="B146" i="13"/>
  <c r="A146" i="13"/>
  <c r="D145" i="13"/>
  <c r="A145" i="13"/>
  <c r="F144" i="13"/>
  <c r="B144" i="13"/>
  <c r="A144" i="13"/>
  <c r="A143" i="13"/>
  <c r="D143" i="13" s="1"/>
  <c r="F142" i="13"/>
  <c r="B142" i="13"/>
  <c r="A142" i="13"/>
  <c r="A141" i="13"/>
  <c r="C142" i="13" s="1"/>
  <c r="H137" i="13"/>
  <c r="H136" i="13"/>
  <c r="G136" i="13"/>
  <c r="B136" i="13"/>
  <c r="H134" i="13"/>
  <c r="B134" i="13"/>
  <c r="D132" i="13"/>
  <c r="F127" i="13"/>
  <c r="B127" i="13"/>
  <c r="A127" i="13"/>
  <c r="F126" i="13"/>
  <c r="B126" i="13"/>
  <c r="A126" i="13"/>
  <c r="F125" i="13"/>
  <c r="B125" i="13"/>
  <c r="A125" i="13"/>
  <c r="A124" i="13"/>
  <c r="D124" i="13" s="1"/>
  <c r="F123" i="13"/>
  <c r="B123" i="13"/>
  <c r="A123" i="13"/>
  <c r="F122" i="13"/>
  <c r="B122" i="13"/>
  <c r="A122" i="13"/>
  <c r="A121" i="13"/>
  <c r="D121" i="13" s="1"/>
  <c r="F120" i="13"/>
  <c r="B120" i="13"/>
  <c r="A120" i="13"/>
  <c r="C119" i="13" s="1"/>
  <c r="F119" i="13"/>
  <c r="B119" i="13"/>
  <c r="A119" i="13"/>
  <c r="D118" i="13"/>
  <c r="A118" i="13"/>
  <c r="F117" i="13"/>
  <c r="B117" i="13"/>
  <c r="A117" i="13"/>
  <c r="F116" i="13"/>
  <c r="B116" i="13"/>
  <c r="A116" i="13"/>
  <c r="C115" i="13" s="1"/>
  <c r="F115" i="13"/>
  <c r="B115" i="13"/>
  <c r="A115" i="13"/>
  <c r="D114" i="13"/>
  <c r="A114" i="13"/>
  <c r="F113" i="13"/>
  <c r="B113" i="13"/>
  <c r="A113" i="13"/>
  <c r="D111" i="13" s="1"/>
  <c r="F112" i="13"/>
  <c r="B112" i="13"/>
  <c r="A112" i="13"/>
  <c r="A111" i="13"/>
  <c r="F110" i="13"/>
  <c r="F109" i="13"/>
  <c r="F108" i="13"/>
  <c r="C108" i="13"/>
  <c r="D107" i="13"/>
  <c r="F106" i="13"/>
  <c r="B106" i="13"/>
  <c r="A106" i="13"/>
  <c r="F105" i="13"/>
  <c r="B105" i="13"/>
  <c r="A105" i="13"/>
  <c r="F104" i="13"/>
  <c r="B104" i="13"/>
  <c r="A104" i="13"/>
  <c r="F103" i="13"/>
  <c r="B103" i="13"/>
  <c r="A103" i="13"/>
  <c r="C102" i="13" s="1"/>
  <c r="F102" i="13"/>
  <c r="B102" i="13"/>
  <c r="A102" i="13"/>
  <c r="D101" i="13"/>
  <c r="A101" i="13"/>
  <c r="F100" i="13"/>
  <c r="B100" i="13"/>
  <c r="A100" i="13"/>
  <c r="D98" i="13" s="1"/>
  <c r="F99" i="13"/>
  <c r="B99" i="13"/>
  <c r="A99" i="13"/>
  <c r="A98" i="13"/>
  <c r="F97" i="13"/>
  <c r="F96" i="13"/>
  <c r="F95" i="13"/>
  <c r="F94" i="13"/>
  <c r="F93" i="13"/>
  <c r="F92" i="13"/>
  <c r="F91" i="13"/>
  <c r="F90" i="13"/>
  <c r="F89" i="13"/>
  <c r="C89" i="13"/>
  <c r="D88" i="13"/>
  <c r="F87" i="13"/>
  <c r="F86" i="13"/>
  <c r="F85" i="13"/>
  <c r="F84" i="13"/>
  <c r="F83" i="13"/>
  <c r="F82" i="13"/>
  <c r="F81" i="13"/>
  <c r="F80" i="13"/>
  <c r="F79" i="13"/>
  <c r="F78" i="13"/>
  <c r="F150" i="13" s="1"/>
  <c r="F156" i="13" s="1"/>
  <c r="C78" i="13"/>
  <c r="D77" i="13"/>
  <c r="H73" i="13"/>
  <c r="H72" i="13"/>
  <c r="G72" i="13"/>
  <c r="B72" i="13"/>
  <c r="H70" i="13"/>
  <c r="B70" i="13"/>
  <c r="D68" i="13"/>
  <c r="B66" i="13"/>
  <c r="H48" i="13"/>
  <c r="H51" i="13" s="1"/>
  <c r="B48" i="13"/>
  <c r="H46" i="13"/>
  <c r="D45" i="13"/>
  <c r="H35" i="13"/>
  <c r="G35" i="13"/>
  <c r="B35" i="13"/>
  <c r="H33" i="13"/>
  <c r="G33" i="13"/>
  <c r="G32" i="13"/>
  <c r="D32" i="13"/>
  <c r="H23" i="13"/>
  <c r="G23" i="13"/>
  <c r="B23" i="13"/>
  <c r="A23" i="13"/>
  <c r="H21" i="13"/>
  <c r="G21" i="13"/>
  <c r="B21" i="13"/>
  <c r="A21" i="13"/>
  <c r="H19" i="13"/>
  <c r="G19" i="13"/>
  <c r="B19" i="13"/>
  <c r="A19" i="13"/>
  <c r="H17" i="13"/>
  <c r="G17" i="13"/>
  <c r="B17" i="13"/>
  <c r="A17" i="13"/>
  <c r="H15" i="13"/>
  <c r="G15" i="13"/>
  <c r="B15" i="13"/>
  <c r="A15" i="13"/>
  <c r="H13" i="13"/>
  <c r="H38" i="13" s="1"/>
  <c r="G13" i="13"/>
  <c r="B13" i="13"/>
  <c r="A13" i="13"/>
  <c r="G12" i="13"/>
  <c r="D12" i="13"/>
  <c r="H4" i="13"/>
  <c r="C122" i="13" l="1"/>
  <c r="C125" i="13"/>
  <c r="D141" i="13"/>
  <c r="C112" i="13"/>
  <c r="C144" i="13"/>
  <c r="C99" i="13"/>
  <c r="B66" i="12"/>
  <c r="H48" i="12"/>
  <c r="H46" i="12"/>
  <c r="B66" i="11"/>
  <c r="H48" i="11"/>
  <c r="H46" i="11"/>
  <c r="B66" i="10"/>
  <c r="H48" i="10"/>
  <c r="H46" i="10"/>
  <c r="B66" i="6"/>
  <c r="H48" i="6"/>
  <c r="H46" i="6"/>
  <c r="B66" i="1"/>
  <c r="H48" i="1"/>
  <c r="H46" i="1"/>
  <c r="H23" i="12" l="1"/>
  <c r="G23" i="12"/>
  <c r="H21" i="12"/>
  <c r="G21" i="12"/>
  <c r="H23" i="11"/>
  <c r="G23" i="11"/>
  <c r="H21" i="11"/>
  <c r="G21" i="11"/>
  <c r="H23" i="10"/>
  <c r="G23" i="10"/>
  <c r="H21" i="10"/>
  <c r="G21" i="10"/>
  <c r="H23" i="6"/>
  <c r="G23" i="6"/>
  <c r="H21" i="6"/>
  <c r="G21" i="6"/>
  <c r="B23" i="1" l="1"/>
  <c r="A23" i="1"/>
  <c r="G23" i="1" l="1"/>
  <c r="H23" i="1"/>
  <c r="F173" i="12" l="1"/>
  <c r="F173" i="11"/>
  <c r="F173" i="10"/>
  <c r="F173" i="6"/>
  <c r="F173" i="1" l="1"/>
  <c r="B48" i="1" l="1"/>
  <c r="B35" i="1"/>
  <c r="I14" i="5" l="1"/>
  <c r="H14" i="5"/>
  <c r="G14" i="5"/>
  <c r="F14" i="5"/>
  <c r="F177" i="12"/>
  <c r="I22" i="5" s="1"/>
  <c r="F171" i="12"/>
  <c r="F154" i="12"/>
  <c r="F147" i="12"/>
  <c r="F146" i="12"/>
  <c r="F144" i="12"/>
  <c r="F142" i="12"/>
  <c r="H136" i="12"/>
  <c r="G136" i="12"/>
  <c r="H134" i="12"/>
  <c r="F127" i="12"/>
  <c r="F126" i="12"/>
  <c r="F125" i="12"/>
  <c r="F123" i="12"/>
  <c r="F122" i="12"/>
  <c r="F120" i="12"/>
  <c r="F119" i="12"/>
  <c r="F117" i="12"/>
  <c r="F116" i="12"/>
  <c r="F115" i="12"/>
  <c r="F113" i="12"/>
  <c r="F112" i="12"/>
  <c r="F110" i="12"/>
  <c r="F109" i="12"/>
  <c r="F108" i="12"/>
  <c r="F106" i="12"/>
  <c r="F105" i="12"/>
  <c r="F104" i="12"/>
  <c r="F103" i="12"/>
  <c r="F102" i="12"/>
  <c r="F100" i="12"/>
  <c r="F99" i="12"/>
  <c r="F97" i="12"/>
  <c r="F96" i="12"/>
  <c r="F95" i="12"/>
  <c r="F94" i="12"/>
  <c r="F93" i="12"/>
  <c r="F92" i="12"/>
  <c r="F91" i="12"/>
  <c r="F90" i="12"/>
  <c r="F89" i="12"/>
  <c r="F87" i="12"/>
  <c r="F86" i="12"/>
  <c r="F85" i="12"/>
  <c r="F84" i="12"/>
  <c r="F83" i="12"/>
  <c r="F82" i="12"/>
  <c r="F81" i="12"/>
  <c r="F80" i="12"/>
  <c r="F79" i="12"/>
  <c r="F78" i="12"/>
  <c r="H72" i="12"/>
  <c r="G72" i="12"/>
  <c r="H70" i="12"/>
  <c r="H51" i="12"/>
  <c r="I20" i="5" s="1"/>
  <c r="G35" i="12"/>
  <c r="H35" i="12" s="1"/>
  <c r="H33" i="12"/>
  <c r="G33" i="12"/>
  <c r="H19" i="12"/>
  <c r="G19" i="12"/>
  <c r="H17" i="12"/>
  <c r="G17" i="12"/>
  <c r="H15" i="12"/>
  <c r="G15" i="12"/>
  <c r="H13" i="12"/>
  <c r="G13" i="12"/>
  <c r="H8" i="12"/>
  <c r="F6" i="12"/>
  <c r="E6" i="12"/>
  <c r="D6" i="12"/>
  <c r="C6" i="12"/>
  <c r="B6" i="12"/>
  <c r="B72" i="12" s="1"/>
  <c r="H4" i="12"/>
  <c r="B4" i="12"/>
  <c r="B70" i="12" s="1"/>
  <c r="D2" i="12"/>
  <c r="F177" i="11"/>
  <c r="H22" i="5" s="1"/>
  <c r="F171" i="11"/>
  <c r="F160" i="11"/>
  <c r="H21" i="5" s="1"/>
  <c r="F154" i="11"/>
  <c r="F147" i="11"/>
  <c r="F146" i="11"/>
  <c r="F144" i="11"/>
  <c r="F142" i="11"/>
  <c r="H136" i="11"/>
  <c r="G136" i="11"/>
  <c r="H134" i="11"/>
  <c r="F127" i="11"/>
  <c r="F126" i="11"/>
  <c r="F125" i="11"/>
  <c r="F123" i="11"/>
  <c r="F122" i="11"/>
  <c r="F120" i="11"/>
  <c r="F119" i="11"/>
  <c r="F117" i="11"/>
  <c r="F116" i="11"/>
  <c r="F115" i="11"/>
  <c r="F113" i="11"/>
  <c r="F112" i="11"/>
  <c r="F110" i="11"/>
  <c r="F109" i="11"/>
  <c r="F108" i="11"/>
  <c r="F106" i="11"/>
  <c r="F105" i="11"/>
  <c r="F104" i="11"/>
  <c r="F103" i="11"/>
  <c r="F102" i="11"/>
  <c r="F100" i="11"/>
  <c r="F99" i="11"/>
  <c r="F97" i="11"/>
  <c r="F96" i="11"/>
  <c r="F95" i="11"/>
  <c r="F94" i="11"/>
  <c r="F93" i="11"/>
  <c r="F92" i="11"/>
  <c r="F91" i="11"/>
  <c r="F90" i="11"/>
  <c r="F89" i="11"/>
  <c r="F87" i="11"/>
  <c r="F86" i="11"/>
  <c r="F85" i="11"/>
  <c r="F84" i="11"/>
  <c r="F83" i="11"/>
  <c r="F82" i="11"/>
  <c r="F81" i="11"/>
  <c r="F80" i="11"/>
  <c r="F79" i="11"/>
  <c r="F78" i="11"/>
  <c r="H72" i="11"/>
  <c r="G72" i="11"/>
  <c r="H70" i="11"/>
  <c r="H35" i="11"/>
  <c r="G35" i="11"/>
  <c r="H33" i="11"/>
  <c r="G33" i="11"/>
  <c r="H19" i="11"/>
  <c r="G19" i="11"/>
  <c r="H17" i="11"/>
  <c r="G17" i="11"/>
  <c r="H15" i="11"/>
  <c r="G15" i="11"/>
  <c r="H13" i="11"/>
  <c r="G13" i="11"/>
  <c r="H8" i="11"/>
  <c r="F6" i="11"/>
  <c r="E6" i="11"/>
  <c r="D6" i="11"/>
  <c r="C6" i="11"/>
  <c r="B6" i="11"/>
  <c r="B72" i="11" s="1"/>
  <c r="H4" i="11"/>
  <c r="B4" i="11"/>
  <c r="B70" i="11" s="1"/>
  <c r="D2" i="11"/>
  <c r="F177" i="10"/>
  <c r="G22" i="5" s="1"/>
  <c r="F171" i="10"/>
  <c r="F160" i="10"/>
  <c r="G21" i="5" s="1"/>
  <c r="F154" i="10"/>
  <c r="F147" i="10"/>
  <c r="F146" i="10"/>
  <c r="F144" i="10"/>
  <c r="F142" i="10"/>
  <c r="H136" i="10"/>
  <c r="G136" i="10"/>
  <c r="H134" i="10"/>
  <c r="F127" i="10"/>
  <c r="F126" i="10"/>
  <c r="F125" i="10"/>
  <c r="F123" i="10"/>
  <c r="F122" i="10"/>
  <c r="F120" i="10"/>
  <c r="F119" i="10"/>
  <c r="F117" i="10"/>
  <c r="F116" i="10"/>
  <c r="F115" i="10"/>
  <c r="F113" i="10"/>
  <c r="F112" i="10"/>
  <c r="F110" i="10"/>
  <c r="F109" i="10"/>
  <c r="F108" i="10"/>
  <c r="F106" i="10"/>
  <c r="F105" i="10"/>
  <c r="F104" i="10"/>
  <c r="F103" i="10"/>
  <c r="F102" i="10"/>
  <c r="F100" i="10"/>
  <c r="F99" i="10"/>
  <c r="F97" i="10"/>
  <c r="F96" i="10"/>
  <c r="F95" i="10"/>
  <c r="F94" i="10"/>
  <c r="F93" i="10"/>
  <c r="F92" i="10"/>
  <c r="F91" i="10"/>
  <c r="F90" i="10"/>
  <c r="F89" i="10"/>
  <c r="F87" i="10"/>
  <c r="F86" i="10"/>
  <c r="F85" i="10"/>
  <c r="F84" i="10"/>
  <c r="F83" i="10"/>
  <c r="F82" i="10"/>
  <c r="F81" i="10"/>
  <c r="F80" i="10"/>
  <c r="F79" i="10"/>
  <c r="F78" i="10"/>
  <c r="H72" i="10"/>
  <c r="G72" i="10"/>
  <c r="H70" i="10"/>
  <c r="H35" i="10"/>
  <c r="G35" i="10"/>
  <c r="H33" i="10"/>
  <c r="G33" i="10"/>
  <c r="H19" i="10"/>
  <c r="G19" i="10"/>
  <c r="H17" i="10"/>
  <c r="G17" i="10"/>
  <c r="H15" i="10"/>
  <c r="G15" i="10"/>
  <c r="H13" i="10"/>
  <c r="H38" i="10" s="1"/>
  <c r="G19" i="5" s="1"/>
  <c r="G13" i="10"/>
  <c r="H8" i="10"/>
  <c r="F6" i="10"/>
  <c r="E6" i="10"/>
  <c r="D6" i="10"/>
  <c r="C6" i="10"/>
  <c r="B6" i="10"/>
  <c r="B72" i="10" s="1"/>
  <c r="H4" i="10"/>
  <c r="B4" i="10"/>
  <c r="B70" i="10" s="1"/>
  <c r="D2" i="10"/>
  <c r="F177" i="6"/>
  <c r="F22" i="5" s="1"/>
  <c r="F171" i="6"/>
  <c r="F154" i="6"/>
  <c r="F147" i="6"/>
  <c r="F144" i="6"/>
  <c r="F142" i="6"/>
  <c r="H136" i="6"/>
  <c r="G136" i="6"/>
  <c r="H134" i="6"/>
  <c r="F127" i="6"/>
  <c r="F126" i="6"/>
  <c r="F125" i="6"/>
  <c r="F123" i="6"/>
  <c r="F122" i="6"/>
  <c r="F120" i="6"/>
  <c r="F119" i="6"/>
  <c r="F117" i="6"/>
  <c r="F116" i="6"/>
  <c r="F115" i="6"/>
  <c r="F113" i="6"/>
  <c r="F112" i="6"/>
  <c r="F110" i="6"/>
  <c r="F109" i="6"/>
  <c r="F108" i="6"/>
  <c r="F106" i="6"/>
  <c r="F105" i="6"/>
  <c r="F104" i="6"/>
  <c r="F103" i="6"/>
  <c r="F102" i="6"/>
  <c r="F100" i="6"/>
  <c r="F99" i="6"/>
  <c r="F97" i="6"/>
  <c r="F96" i="6"/>
  <c r="F95" i="6"/>
  <c r="F94" i="6"/>
  <c r="F93" i="6"/>
  <c r="F92" i="6"/>
  <c r="F91" i="6"/>
  <c r="F90" i="6"/>
  <c r="F89" i="6"/>
  <c r="F87" i="6"/>
  <c r="F86" i="6"/>
  <c r="F85" i="6"/>
  <c r="F84" i="6"/>
  <c r="F83" i="6"/>
  <c r="F82" i="6"/>
  <c r="F81" i="6"/>
  <c r="F80" i="6"/>
  <c r="F79" i="6"/>
  <c r="F78" i="6"/>
  <c r="H72" i="6"/>
  <c r="G72" i="6"/>
  <c r="H70" i="6"/>
  <c r="G35" i="6"/>
  <c r="H35" i="6" s="1"/>
  <c r="H33" i="6"/>
  <c r="G33" i="6"/>
  <c r="H19" i="6"/>
  <c r="G19" i="6"/>
  <c r="H17" i="6"/>
  <c r="G17" i="6"/>
  <c r="H15" i="6"/>
  <c r="G15" i="6"/>
  <c r="H13" i="6"/>
  <c r="G13" i="6"/>
  <c r="H8" i="6"/>
  <c r="F6" i="6"/>
  <c r="E6" i="6"/>
  <c r="D6" i="6"/>
  <c r="C6" i="6"/>
  <c r="B6" i="6"/>
  <c r="B72" i="6" s="1"/>
  <c r="H4" i="6"/>
  <c r="B4" i="6"/>
  <c r="B70" i="6" s="1"/>
  <c r="D2" i="6"/>
  <c r="H51" i="10" l="1"/>
  <c r="G20" i="5" s="1"/>
  <c r="B23" i="12"/>
  <c r="B21" i="12"/>
  <c r="A23" i="12"/>
  <c r="A21" i="12"/>
  <c r="B23" i="6"/>
  <c r="B21" i="6"/>
  <c r="A23" i="6"/>
  <c r="A21" i="6"/>
  <c r="B23" i="11"/>
  <c r="B21" i="11"/>
  <c r="A23" i="11"/>
  <c r="A21" i="11"/>
  <c r="B23" i="10"/>
  <c r="B21" i="10"/>
  <c r="A23" i="10"/>
  <c r="A21" i="10"/>
  <c r="B48" i="12"/>
  <c r="H38" i="11"/>
  <c r="H19" i="5" s="1"/>
  <c r="B147" i="6"/>
  <c r="B48" i="6"/>
  <c r="B35" i="6"/>
  <c r="B147" i="10"/>
  <c r="B48" i="10"/>
  <c r="B35" i="10"/>
  <c r="B147" i="12"/>
  <c r="B35" i="12"/>
  <c r="B147" i="11"/>
  <c r="B48" i="11"/>
  <c r="B35" i="11"/>
  <c r="F150" i="11"/>
  <c r="F156" i="11" s="1"/>
  <c r="F150" i="12"/>
  <c r="F156" i="12" s="1"/>
  <c r="F160" i="12" s="1"/>
  <c r="I21" i="5" s="1"/>
  <c r="H38" i="6"/>
  <c r="F19" i="5" s="1"/>
  <c r="H38" i="12"/>
  <c r="I19" i="5" s="1"/>
  <c r="D12" i="12"/>
  <c r="A13" i="12"/>
  <c r="A15" i="12"/>
  <c r="A17" i="12"/>
  <c r="A19" i="12"/>
  <c r="D32" i="12"/>
  <c r="D45" i="12"/>
  <c r="D68" i="12"/>
  <c r="H73" i="12"/>
  <c r="C78" i="12"/>
  <c r="C89" i="12"/>
  <c r="A98" i="12"/>
  <c r="A99" i="12"/>
  <c r="A100" i="12"/>
  <c r="C99" i="12" s="1"/>
  <c r="B102" i="12"/>
  <c r="B103" i="12"/>
  <c r="A104" i="12"/>
  <c r="B105" i="12"/>
  <c r="A106" i="12"/>
  <c r="C108" i="12"/>
  <c r="A111" i="12"/>
  <c r="A112" i="12"/>
  <c r="A113" i="12"/>
  <c r="C112" i="12" s="1"/>
  <c r="B115" i="12"/>
  <c r="B116" i="12"/>
  <c r="A117" i="12"/>
  <c r="B119" i="12"/>
  <c r="B120" i="12"/>
  <c r="A121" i="12"/>
  <c r="C122" i="12" s="1"/>
  <c r="A122" i="12"/>
  <c r="A123" i="12"/>
  <c r="B125" i="12"/>
  <c r="B126" i="12"/>
  <c r="A127" i="12"/>
  <c r="B134" i="12"/>
  <c r="B136" i="12"/>
  <c r="A141" i="12"/>
  <c r="D141" i="12" s="1"/>
  <c r="A142" i="12"/>
  <c r="A143" i="12"/>
  <c r="C144" i="12" s="1"/>
  <c r="A144" i="12"/>
  <c r="A145" i="12"/>
  <c r="A146" i="12"/>
  <c r="D145" i="12" s="1"/>
  <c r="A147" i="12"/>
  <c r="H51" i="11"/>
  <c r="H20" i="5" s="1"/>
  <c r="G12" i="12"/>
  <c r="B13" i="12"/>
  <c r="B15" i="12"/>
  <c r="B17" i="12"/>
  <c r="B19" i="12"/>
  <c r="G32" i="12"/>
  <c r="D77" i="12"/>
  <c r="D88" i="12"/>
  <c r="B99" i="12"/>
  <c r="B100" i="12"/>
  <c r="A101" i="12"/>
  <c r="A102" i="12"/>
  <c r="A103" i="12"/>
  <c r="D101" i="12" s="1"/>
  <c r="B104" i="12"/>
  <c r="A105" i="12"/>
  <c r="B106" i="12"/>
  <c r="D107" i="12"/>
  <c r="B112" i="12"/>
  <c r="B113" i="12"/>
  <c r="A114" i="12"/>
  <c r="A115" i="12"/>
  <c r="A116" i="12"/>
  <c r="D114" i="12" s="1"/>
  <c r="B117" i="12"/>
  <c r="A118" i="12"/>
  <c r="A119" i="12"/>
  <c r="A120" i="12"/>
  <c r="D118" i="12" s="1"/>
  <c r="B122" i="12"/>
  <c r="B123" i="12"/>
  <c r="A124" i="12"/>
  <c r="D124" i="12" s="1"/>
  <c r="A125" i="12"/>
  <c r="A126" i="12"/>
  <c r="B127" i="12"/>
  <c r="D132" i="12"/>
  <c r="H137" i="12"/>
  <c r="B142" i="12"/>
  <c r="B144" i="12"/>
  <c r="B146" i="12"/>
  <c r="F150" i="10"/>
  <c r="F156" i="10" s="1"/>
  <c r="D12" i="11"/>
  <c r="A13" i="11"/>
  <c r="A15" i="11"/>
  <c r="A17" i="11"/>
  <c r="A19" i="11"/>
  <c r="D32" i="11"/>
  <c r="D45" i="11"/>
  <c r="D68" i="11"/>
  <c r="H73" i="11"/>
  <c r="C78" i="11"/>
  <c r="C89" i="11"/>
  <c r="A98" i="11"/>
  <c r="A99" i="11"/>
  <c r="A100" i="11"/>
  <c r="C99" i="11" s="1"/>
  <c r="B102" i="11"/>
  <c r="B103" i="11"/>
  <c r="A104" i="11"/>
  <c r="B105" i="11"/>
  <c r="A106" i="11"/>
  <c r="C108" i="11"/>
  <c r="A111" i="11"/>
  <c r="A112" i="11"/>
  <c r="A113" i="11"/>
  <c r="C112" i="11" s="1"/>
  <c r="B115" i="11"/>
  <c r="B116" i="11"/>
  <c r="A117" i="11"/>
  <c r="B119" i="11"/>
  <c r="B120" i="11"/>
  <c r="A121" i="11"/>
  <c r="D121" i="11" s="1"/>
  <c r="A122" i="11"/>
  <c r="A123" i="11"/>
  <c r="B125" i="11"/>
  <c r="B126" i="11"/>
  <c r="A127" i="11"/>
  <c r="B134" i="11"/>
  <c r="B136" i="11"/>
  <c r="A141" i="11"/>
  <c r="C142" i="11" s="1"/>
  <c r="A142" i="11"/>
  <c r="A143" i="11"/>
  <c r="D143" i="11" s="1"/>
  <c r="A144" i="11"/>
  <c r="A145" i="11"/>
  <c r="A146" i="11"/>
  <c r="D145" i="11" s="1"/>
  <c r="A147" i="11"/>
  <c r="G12" i="11"/>
  <c r="B13" i="11"/>
  <c r="B15" i="11"/>
  <c r="B17" i="11"/>
  <c r="B19" i="11"/>
  <c r="G32" i="11"/>
  <c r="D77" i="11"/>
  <c r="D88" i="11"/>
  <c r="B99" i="11"/>
  <c r="B100" i="11"/>
  <c r="A101" i="11"/>
  <c r="A102" i="11"/>
  <c r="A103" i="11"/>
  <c r="D101" i="11" s="1"/>
  <c r="B104" i="11"/>
  <c r="A105" i="11"/>
  <c r="B106" i="11"/>
  <c r="D107" i="11"/>
  <c r="B112" i="11"/>
  <c r="B113" i="11"/>
  <c r="A114" i="11"/>
  <c r="A115" i="11"/>
  <c r="A116" i="11"/>
  <c r="D114" i="11" s="1"/>
  <c r="B117" i="11"/>
  <c r="A118" i="11"/>
  <c r="A119" i="11"/>
  <c r="A120" i="11"/>
  <c r="D118" i="11" s="1"/>
  <c r="B122" i="11"/>
  <c r="B123" i="11"/>
  <c r="A124" i="11"/>
  <c r="D124" i="11" s="1"/>
  <c r="A125" i="11"/>
  <c r="A126" i="11"/>
  <c r="B127" i="11"/>
  <c r="D132" i="11"/>
  <c r="H137" i="11"/>
  <c r="B142" i="11"/>
  <c r="B144" i="11"/>
  <c r="B146" i="11"/>
  <c r="D12" i="10"/>
  <c r="A13" i="10"/>
  <c r="A15" i="10"/>
  <c r="A17" i="10"/>
  <c r="A19" i="10"/>
  <c r="D32" i="10"/>
  <c r="D45" i="10"/>
  <c r="D68" i="10"/>
  <c r="H73" i="10"/>
  <c r="C78" i="10"/>
  <c r="C89" i="10"/>
  <c r="A98" i="10"/>
  <c r="A99" i="10"/>
  <c r="A100" i="10"/>
  <c r="C99" i="10" s="1"/>
  <c r="B102" i="10"/>
  <c r="B103" i="10"/>
  <c r="A104" i="10"/>
  <c r="B105" i="10"/>
  <c r="A106" i="10"/>
  <c r="C108" i="10"/>
  <c r="A111" i="10"/>
  <c r="A112" i="10"/>
  <c r="A113" i="10"/>
  <c r="C112" i="10" s="1"/>
  <c r="B115" i="10"/>
  <c r="B116" i="10"/>
  <c r="A117" i="10"/>
  <c r="B119" i="10"/>
  <c r="B120" i="10"/>
  <c r="A121" i="10"/>
  <c r="D121" i="10" s="1"/>
  <c r="A122" i="10"/>
  <c r="A123" i="10"/>
  <c r="B125" i="10"/>
  <c r="B126" i="10"/>
  <c r="A127" i="10"/>
  <c r="B134" i="10"/>
  <c r="B136" i="10"/>
  <c r="A141" i="10"/>
  <c r="D141" i="10" s="1"/>
  <c r="A142" i="10"/>
  <c r="A143" i="10"/>
  <c r="D143" i="10" s="1"/>
  <c r="A144" i="10"/>
  <c r="A145" i="10"/>
  <c r="A146" i="10"/>
  <c r="D145" i="10" s="1"/>
  <c r="A147" i="10"/>
  <c r="G12" i="10"/>
  <c r="B13" i="10"/>
  <c r="B15" i="10"/>
  <c r="B17" i="10"/>
  <c r="B19" i="10"/>
  <c r="G32" i="10"/>
  <c r="D77" i="10"/>
  <c r="D88" i="10"/>
  <c r="B99" i="10"/>
  <c r="B100" i="10"/>
  <c r="A101" i="10"/>
  <c r="A102" i="10"/>
  <c r="A103" i="10"/>
  <c r="D101" i="10" s="1"/>
  <c r="B104" i="10"/>
  <c r="A105" i="10"/>
  <c r="B106" i="10"/>
  <c r="D107" i="10"/>
  <c r="B112" i="10"/>
  <c r="B113" i="10"/>
  <c r="A114" i="10"/>
  <c r="A115" i="10"/>
  <c r="A116" i="10"/>
  <c r="D114" i="10" s="1"/>
  <c r="B117" i="10"/>
  <c r="A118" i="10"/>
  <c r="A119" i="10"/>
  <c r="A120" i="10"/>
  <c r="D118" i="10" s="1"/>
  <c r="B122" i="10"/>
  <c r="B123" i="10"/>
  <c r="A124" i="10"/>
  <c r="D124" i="10" s="1"/>
  <c r="A125" i="10"/>
  <c r="A126" i="10"/>
  <c r="B127" i="10"/>
  <c r="D132" i="10"/>
  <c r="H137" i="10"/>
  <c r="B142" i="10"/>
  <c r="B144" i="10"/>
  <c r="B146" i="10"/>
  <c r="H51" i="6"/>
  <c r="F20" i="5" s="1"/>
  <c r="G12" i="6"/>
  <c r="B13" i="6"/>
  <c r="B15" i="6"/>
  <c r="B17" i="6"/>
  <c r="B19" i="6"/>
  <c r="G32" i="6"/>
  <c r="D12" i="6"/>
  <c r="A13" i="6"/>
  <c r="A15" i="6"/>
  <c r="A17" i="6"/>
  <c r="A19" i="6"/>
  <c r="D32" i="6"/>
  <c r="D45" i="6"/>
  <c r="D68" i="6"/>
  <c r="H73" i="6"/>
  <c r="C78" i="6"/>
  <c r="C89" i="6"/>
  <c r="A98" i="6"/>
  <c r="A99" i="6"/>
  <c r="A100" i="6"/>
  <c r="C99" i="6" s="1"/>
  <c r="B102" i="6"/>
  <c r="B103" i="6"/>
  <c r="A104" i="6"/>
  <c r="B105" i="6"/>
  <c r="A106" i="6"/>
  <c r="C108" i="6"/>
  <c r="A111" i="6"/>
  <c r="A112" i="6"/>
  <c r="A113" i="6"/>
  <c r="C112" i="6" s="1"/>
  <c r="B115" i="6"/>
  <c r="B116" i="6"/>
  <c r="A117" i="6"/>
  <c r="B119" i="6"/>
  <c r="B120" i="6"/>
  <c r="A121" i="6"/>
  <c r="C122" i="6" s="1"/>
  <c r="A122" i="6"/>
  <c r="A123" i="6"/>
  <c r="B125" i="6"/>
  <c r="B126" i="6"/>
  <c r="A127" i="6"/>
  <c r="B134" i="6"/>
  <c r="B136" i="6"/>
  <c r="A141" i="6"/>
  <c r="D141" i="6" s="1"/>
  <c r="A142" i="6"/>
  <c r="A143" i="6"/>
  <c r="D143" i="6" s="1"/>
  <c r="A144" i="6"/>
  <c r="A145" i="6"/>
  <c r="A146" i="6"/>
  <c r="D145" i="6" s="1"/>
  <c r="A147" i="6"/>
  <c r="D77" i="6"/>
  <c r="D88" i="6"/>
  <c r="B99" i="6"/>
  <c r="B100" i="6"/>
  <c r="A101" i="6"/>
  <c r="A102" i="6"/>
  <c r="A103" i="6"/>
  <c r="D101" i="6" s="1"/>
  <c r="B104" i="6"/>
  <c r="A105" i="6"/>
  <c r="B106" i="6"/>
  <c r="D107" i="6"/>
  <c r="B112" i="6"/>
  <c r="B113" i="6"/>
  <c r="A114" i="6"/>
  <c r="A115" i="6"/>
  <c r="A116" i="6"/>
  <c r="D114" i="6" s="1"/>
  <c r="B117" i="6"/>
  <c r="A118" i="6"/>
  <c r="A119" i="6"/>
  <c r="A120" i="6"/>
  <c r="D118" i="6" s="1"/>
  <c r="B122" i="6"/>
  <c r="B123" i="6"/>
  <c r="A124" i="6"/>
  <c r="D124" i="6" s="1"/>
  <c r="A125" i="6"/>
  <c r="A126" i="6"/>
  <c r="B127" i="6"/>
  <c r="D132" i="6"/>
  <c r="H137" i="6"/>
  <c r="B142" i="6"/>
  <c r="B144" i="6"/>
  <c r="B146" i="6"/>
  <c r="I24" i="5"/>
  <c r="I26" i="5" s="1"/>
  <c r="H24" i="5"/>
  <c r="G24" i="5"/>
  <c r="F24" i="5"/>
  <c r="J23" i="5"/>
  <c r="J16" i="5"/>
  <c r="J15" i="5"/>
  <c r="D14" i="5"/>
  <c r="D13" i="5"/>
  <c r="I17" i="5"/>
  <c r="H17" i="5"/>
  <c r="H26" i="5" s="1"/>
  <c r="G17" i="5"/>
  <c r="F17" i="5"/>
  <c r="E17" i="5"/>
  <c r="D17" i="5"/>
  <c r="I7" i="5"/>
  <c r="G7" i="5"/>
  <c r="F7" i="5"/>
  <c r="E7" i="5"/>
  <c r="D7" i="5"/>
  <c r="C7" i="5"/>
  <c r="I5" i="5"/>
  <c r="C5" i="5"/>
  <c r="F3" i="5"/>
  <c r="G136" i="1"/>
  <c r="G72" i="1"/>
  <c r="D121" i="12" l="1"/>
  <c r="D143" i="12"/>
  <c r="D98" i="10"/>
  <c r="D111" i="12"/>
  <c r="C122" i="10"/>
  <c r="C144" i="10"/>
  <c r="C142" i="12"/>
  <c r="C144" i="6"/>
  <c r="C125" i="10"/>
  <c r="C142" i="10"/>
  <c r="C125" i="11"/>
  <c r="C144" i="11"/>
  <c r="C122" i="11"/>
  <c r="C125" i="12"/>
  <c r="D121" i="6"/>
  <c r="D141" i="11"/>
  <c r="D98" i="11"/>
  <c r="D98" i="12"/>
  <c r="D111" i="11"/>
  <c r="C115" i="12"/>
  <c r="C119" i="11"/>
  <c r="C146" i="12"/>
  <c r="G26" i="5"/>
  <c r="F26" i="5"/>
  <c r="C119" i="10"/>
  <c r="C102" i="11"/>
  <c r="C146" i="11"/>
  <c r="C119" i="12"/>
  <c r="C102" i="12"/>
  <c r="D111" i="10"/>
  <c r="C102" i="10"/>
  <c r="C146" i="10"/>
  <c r="C115" i="11"/>
  <c r="C115" i="10"/>
  <c r="D98" i="6"/>
  <c r="C142" i="6"/>
  <c r="C125" i="6"/>
  <c r="C119" i="6"/>
  <c r="D111" i="6"/>
  <c r="C102" i="6"/>
  <c r="C146" i="6"/>
  <c r="F146" i="6" s="1"/>
  <c r="F150" i="6" s="1"/>
  <c r="F156" i="6" s="1"/>
  <c r="F160" i="6" s="1"/>
  <c r="F21" i="5" s="1"/>
  <c r="C115" i="6"/>
  <c r="J17" i="5"/>
  <c r="D132" i="1"/>
  <c r="E24" i="5" l="1"/>
  <c r="E26" i="5" s="1"/>
  <c r="F177" i="1"/>
  <c r="D22" i="5" s="1"/>
  <c r="F171" i="1"/>
  <c r="F154" i="1"/>
  <c r="F142" i="1"/>
  <c r="F127" i="1"/>
  <c r="F126" i="1"/>
  <c r="F125" i="1"/>
  <c r="F123" i="1"/>
  <c r="F122" i="1"/>
  <c r="F120" i="1"/>
  <c r="F119" i="1"/>
  <c r="F117" i="1"/>
  <c r="F116" i="1"/>
  <c r="F115" i="1"/>
  <c r="F113" i="1"/>
  <c r="F112" i="1"/>
  <c r="F110" i="1"/>
  <c r="F109" i="1"/>
  <c r="F108" i="1"/>
  <c r="F106" i="1"/>
  <c r="F105" i="1"/>
  <c r="F104" i="1"/>
  <c r="F103" i="1"/>
  <c r="F102" i="1"/>
  <c r="F100" i="1"/>
  <c r="F99" i="1"/>
  <c r="F97" i="1"/>
  <c r="F96" i="1"/>
  <c r="F95" i="1"/>
  <c r="F94" i="1"/>
  <c r="F93" i="1"/>
  <c r="F92" i="1"/>
  <c r="F91" i="1"/>
  <c r="F90" i="1"/>
  <c r="F89" i="1"/>
  <c r="F87" i="1"/>
  <c r="F86" i="1"/>
  <c r="F85" i="1"/>
  <c r="F84" i="1"/>
  <c r="F83" i="1"/>
  <c r="F82" i="1"/>
  <c r="F81" i="1"/>
  <c r="F80" i="1"/>
  <c r="F79" i="1"/>
  <c r="H136" i="1" l="1"/>
  <c r="B136" i="1"/>
  <c r="B134" i="1"/>
  <c r="H137" i="1"/>
  <c r="H134" i="1"/>
  <c r="B113" i="1" l="1"/>
  <c r="B112" i="1"/>
  <c r="A111" i="1"/>
  <c r="B105" i="1"/>
  <c r="B104" i="1"/>
  <c r="B103" i="1"/>
  <c r="B102" i="1"/>
  <c r="A101" i="1"/>
  <c r="B100" i="1"/>
  <c r="B99" i="1"/>
  <c r="B147" i="1"/>
  <c r="A147" i="1"/>
  <c r="B146" i="1"/>
  <c r="A146" i="1"/>
  <c r="C146" i="1" s="1"/>
  <c r="A145" i="1"/>
  <c r="F147" i="1" l="1"/>
  <c r="F146" i="1"/>
  <c r="D145" i="1"/>
  <c r="A143" i="1"/>
  <c r="D143" i="1" s="1"/>
  <c r="B144" i="1"/>
  <c r="A144" i="1"/>
  <c r="B142" i="1"/>
  <c r="A142" i="1"/>
  <c r="A141" i="1"/>
  <c r="D141" i="1" s="1"/>
  <c r="A124" i="1"/>
  <c r="C125" i="1" s="1"/>
  <c r="B127" i="1"/>
  <c r="A127" i="1"/>
  <c r="B126" i="1"/>
  <c r="A126" i="1"/>
  <c r="B125" i="1"/>
  <c r="A125" i="1"/>
  <c r="A122" i="1"/>
  <c r="A123" i="1"/>
  <c r="B123" i="1"/>
  <c r="C144" i="1" l="1"/>
  <c r="F144" i="1" s="1"/>
  <c r="C142" i="1"/>
  <c r="D124" i="1"/>
  <c r="B122" i="1"/>
  <c r="A121" i="1"/>
  <c r="D121" i="1" s="1"/>
  <c r="A118" i="1"/>
  <c r="A119" i="1"/>
  <c r="B119" i="1"/>
  <c r="A120" i="1"/>
  <c r="D118" i="1" s="1"/>
  <c r="B120" i="1"/>
  <c r="C122" i="1" l="1"/>
  <c r="C119" i="1"/>
  <c r="C78" i="1"/>
  <c r="F78" i="1" l="1"/>
  <c r="A114" i="1"/>
  <c r="B117" i="1"/>
  <c r="A117" i="1"/>
  <c r="B116" i="1"/>
  <c r="B115" i="1"/>
  <c r="A116" i="1"/>
  <c r="D114" i="1" s="1"/>
  <c r="A115" i="1"/>
  <c r="C115" i="1" l="1"/>
  <c r="A113" i="1"/>
  <c r="D111" i="1" s="1"/>
  <c r="A112" i="1"/>
  <c r="D88" i="1"/>
  <c r="C108" i="1"/>
  <c r="D107" i="1"/>
  <c r="B106" i="1"/>
  <c r="A106" i="1"/>
  <c r="A105" i="1"/>
  <c r="A104" i="1"/>
  <c r="A103" i="1"/>
  <c r="C102" i="1" s="1"/>
  <c r="A102" i="1"/>
  <c r="C89" i="1"/>
  <c r="D77" i="1"/>
  <c r="A98" i="1"/>
  <c r="A99" i="1"/>
  <c r="A100" i="1"/>
  <c r="H73" i="1"/>
  <c r="H72" i="1"/>
  <c r="B72" i="1"/>
  <c r="B70" i="1"/>
  <c r="D68" i="1"/>
  <c r="H70" i="1"/>
  <c r="D101" i="1" l="1"/>
  <c r="C112" i="1"/>
  <c r="C99" i="1"/>
  <c r="D98" i="1"/>
  <c r="A21" i="1" l="1"/>
  <c r="B21" i="1"/>
  <c r="B19" i="1"/>
  <c r="A19" i="1"/>
  <c r="A17" i="1"/>
  <c r="B17" i="1"/>
  <c r="B15" i="1"/>
  <c r="A15" i="1"/>
  <c r="A13" i="1"/>
  <c r="B13" i="1"/>
  <c r="F150" i="1" l="1"/>
  <c r="G12" i="1"/>
  <c r="G32" i="1"/>
  <c r="F160" i="1" l="1"/>
  <c r="F156" i="1"/>
  <c r="D45" i="1"/>
  <c r="G35" i="1"/>
  <c r="H35" i="1" s="1"/>
  <c r="G33" i="1"/>
  <c r="H33" i="1" s="1"/>
  <c r="H21" i="1"/>
  <c r="G21" i="1"/>
  <c r="G19" i="1"/>
  <c r="H19" i="1" s="1"/>
  <c r="G17" i="1"/>
  <c r="H17" i="1" s="1"/>
  <c r="G13" i="1"/>
  <c r="H13" i="1" s="1"/>
  <c r="G15" i="1"/>
  <c r="H15" i="1" s="1"/>
  <c r="D32" i="1"/>
  <c r="D12" i="1"/>
  <c r="J22" i="5" l="1"/>
  <c r="D21" i="5"/>
  <c r="J21" i="5" s="1"/>
  <c r="H51" i="1"/>
  <c r="D20" i="5" s="1"/>
  <c r="J20" i="5" s="1"/>
  <c r="H4" i="1" l="1"/>
  <c r="H38" i="1" l="1"/>
  <c r="D19" i="5" s="1"/>
  <c r="J19" i="5" l="1"/>
  <c r="J24" i="5" s="1"/>
  <c r="J26" i="5" s="1"/>
  <c r="D24" i="5"/>
  <c r="D26" i="5" s="1"/>
</calcChain>
</file>

<file path=xl/comments1.xml><?xml version="1.0" encoding="utf-8"?>
<comments xmlns="http://schemas.openxmlformats.org/spreadsheetml/2006/main">
  <authors>
    <author>Hirsbrunner, Heidi (FHWA)</author>
  </authors>
  <commentList>
    <comment ref="F152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69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2.xml><?xml version="1.0" encoding="utf-8"?>
<comments xmlns="http://schemas.openxmlformats.org/spreadsheetml/2006/main">
  <authors>
    <author>Hirsbrunner, Heidi (FHWA)</author>
  </authors>
  <commentList>
    <comment ref="F152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69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3.xml><?xml version="1.0" encoding="utf-8"?>
<comments xmlns="http://schemas.openxmlformats.org/spreadsheetml/2006/main">
  <authors>
    <author>Hirsbrunner, Heidi (FHWA)</author>
  </authors>
  <commentList>
    <comment ref="F152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69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4.xml><?xml version="1.0" encoding="utf-8"?>
<comments xmlns="http://schemas.openxmlformats.org/spreadsheetml/2006/main">
  <authors>
    <author>Hirsbrunner, Heidi (FHWA)</author>
  </authors>
  <commentList>
    <comment ref="F152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69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5.xml><?xml version="1.0" encoding="utf-8"?>
<comments xmlns="http://schemas.openxmlformats.org/spreadsheetml/2006/main">
  <authors>
    <author>Hirsbrunner, Heidi (FHWA)</author>
  </authors>
  <commentList>
    <comment ref="F152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69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6.xml><?xml version="1.0" encoding="utf-8"?>
<comments xmlns="http://schemas.openxmlformats.org/spreadsheetml/2006/main">
  <authors>
    <author>Hirsbrunner, Heidi (FHWA)</author>
  </authors>
  <commentList>
    <comment ref="F152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69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sharedStrings.xml><?xml version="1.0" encoding="utf-8"?>
<sst xmlns="http://schemas.openxmlformats.org/spreadsheetml/2006/main" count="1000" uniqueCount="185">
  <si>
    <t>Unit Price</t>
  </si>
  <si>
    <t>Incentive Amt</t>
  </si>
  <si>
    <t>ACP By Gyratory Mix Design</t>
  </si>
  <si>
    <t xml:space="preserve">Project #:  </t>
  </si>
  <si>
    <t xml:space="preserve">Project Name:  </t>
  </si>
  <si>
    <t xml:space="preserve">Date:  </t>
  </si>
  <si>
    <t>A</t>
  </si>
  <si>
    <t>Section Description</t>
  </si>
  <si>
    <t xml:space="preserve">Units:  </t>
  </si>
  <si>
    <t xml:space="preserve">TOTAL MATERIALS INCENTIVES:  </t>
  </si>
  <si>
    <t xml:space="preserve">TOTAL ROUGHNESS INCENTIVES:  </t>
  </si>
  <si>
    <t>Quantity</t>
  </si>
  <si>
    <t>Project</t>
  </si>
  <si>
    <t>Item</t>
  </si>
  <si>
    <t>Section #</t>
  </si>
  <si>
    <r>
      <t>Materials Incentives (5% Max. Incentive Items)</t>
    </r>
    <r>
      <rPr>
        <vertAlign val="superscript"/>
        <sz val="12"/>
        <color theme="1"/>
        <rFont val="Arial"/>
        <family val="2"/>
      </rPr>
      <t>1</t>
    </r>
  </si>
  <si>
    <r>
      <t>Materials Incentives (6% Max. Incentive Items)</t>
    </r>
    <r>
      <rPr>
        <vertAlign val="superscript"/>
        <sz val="12"/>
        <color theme="1"/>
        <rFont val="Arial"/>
        <family val="2"/>
      </rPr>
      <t>2</t>
    </r>
  </si>
  <si>
    <r>
      <t>Roughness Incentives</t>
    </r>
    <r>
      <rPr>
        <vertAlign val="superscript"/>
        <sz val="12"/>
        <color theme="1"/>
        <rFont val="Arial"/>
        <family val="2"/>
      </rPr>
      <t>3</t>
    </r>
  </si>
  <si>
    <t xml:space="preserve">Note 1: </t>
  </si>
  <si>
    <t>Q_t Unit Price = (Unit Price x 0.05)</t>
  </si>
  <si>
    <t>Incentive Amt = (Quantity x Q_t Unit Price)</t>
  </si>
  <si>
    <t xml:space="preserve">Note 2: </t>
  </si>
  <si>
    <t>Q_t Unit Price = (Unit Price x 0.06)</t>
  </si>
  <si>
    <t xml:space="preserve">Note 3: </t>
  </si>
  <si>
    <t xml:space="preserve">FP Version:  </t>
  </si>
  <si>
    <t>FP-03</t>
  </si>
  <si>
    <t>CFLHD - Materials &amp; Roughness Incentives Adjustments Worksheet</t>
  </si>
  <si>
    <t>FP-14</t>
  </si>
  <si>
    <t>CFLHD - Asphalt Cement &amp; Fuel Price Adjustments Worksheet</t>
  </si>
  <si>
    <t>Section 204 - Excavation and Embankment</t>
  </si>
  <si>
    <t>Roadway exacation</t>
  </si>
  <si>
    <t>Unclassified borrow</t>
  </si>
  <si>
    <t>Gallons</t>
  </si>
  <si>
    <t>109.06-Pricing Adjustments FUEL</t>
  </si>
  <si>
    <t>Select borrow</t>
  </si>
  <si>
    <t>Subexacation</t>
  </si>
  <si>
    <t>Select topping</t>
  </si>
  <si>
    <t>Rock excavation</t>
  </si>
  <si>
    <t>Unclassified borrow*</t>
  </si>
  <si>
    <t>Select borrow*</t>
  </si>
  <si>
    <t>Select topping*</t>
  </si>
  <si>
    <t>Aggegate base</t>
  </si>
  <si>
    <t>Aggegate base*</t>
  </si>
  <si>
    <t>Subbase</t>
  </si>
  <si>
    <t>Subbase*</t>
  </si>
  <si>
    <t>Section 301 - Untreated Aggregate Courses</t>
  </si>
  <si>
    <t>Section 302 - Untreated Aggregate Courses</t>
  </si>
  <si>
    <t>30201</t>
  </si>
  <si>
    <t>Treated aggregate course</t>
  </si>
  <si>
    <t>30202</t>
  </si>
  <si>
    <t>Treated aggregate course*</t>
  </si>
  <si>
    <t>Section 305 - Full Depth reclamation (FDR) with Cement</t>
  </si>
  <si>
    <t>30501</t>
  </si>
  <si>
    <t>FDR with Cement*</t>
  </si>
  <si>
    <t>30502</t>
  </si>
  <si>
    <t>FDR with Cement</t>
  </si>
  <si>
    <t>Tons</t>
  </si>
  <si>
    <t>tonnes</t>
  </si>
  <si>
    <t>SQYD</t>
  </si>
  <si>
    <t>m2</t>
  </si>
  <si>
    <t>Section 304 - Aggregate Stabilization</t>
  </si>
  <si>
    <t>30401</t>
  </si>
  <si>
    <t>Aggregate stabilzation imported aggregate</t>
  </si>
  <si>
    <t>30402</t>
  </si>
  <si>
    <t>Aggregate stabilzation imported aggregate*</t>
  </si>
  <si>
    <t>30405</t>
  </si>
  <si>
    <t>Aggregate stabilzation in-place aggregate*</t>
  </si>
  <si>
    <t>30410</t>
  </si>
  <si>
    <t>Aggregate stabilzation imported surface course*</t>
  </si>
  <si>
    <t>30411</t>
  </si>
  <si>
    <t>Section 306 - Full Depth reclamation (FDR) with Asphalt</t>
  </si>
  <si>
    <t>30601</t>
  </si>
  <si>
    <t>FDR with Emulsified Asphalt*</t>
  </si>
  <si>
    <t>30602</t>
  </si>
  <si>
    <t>30603</t>
  </si>
  <si>
    <t>FDR with Foamed Asphalt*</t>
  </si>
  <si>
    <t>30604</t>
  </si>
  <si>
    <t>FDR with Foamed Asphalt</t>
  </si>
  <si>
    <t>Emulsified asphalt treated aggregate base</t>
  </si>
  <si>
    <t>Emulsified asphalt treated aggregate base*</t>
  </si>
  <si>
    <t>Section 310 - Cold InPlace (CIP) Recycled Asphalt Base</t>
  </si>
  <si>
    <t>31001</t>
  </si>
  <si>
    <t>CIP Recycled Ashalt Base*</t>
  </si>
  <si>
    <t>31002</t>
  </si>
  <si>
    <t>CIP Recycled Ashalt Base</t>
  </si>
  <si>
    <t>40101</t>
  </si>
  <si>
    <t>Superpave pavement</t>
  </si>
  <si>
    <t>40102</t>
  </si>
  <si>
    <t>Superpave pavement wedge and levelling course</t>
  </si>
  <si>
    <t>FUF</t>
  </si>
  <si>
    <t>Section 401 - Superpave HACP</t>
  </si>
  <si>
    <t>Section 402 - HACP by Hveem or Marshall</t>
  </si>
  <si>
    <t>Section 311 - Stabilized Aggregate Base Course</t>
  </si>
  <si>
    <t>31101</t>
  </si>
  <si>
    <t>Stabilized aggregate surface course*</t>
  </si>
  <si>
    <t>31102</t>
  </si>
  <si>
    <t>Section 403 - Hot Asphalt Concrete Pavement</t>
  </si>
  <si>
    <t>Hot asphalt concrete pavement, wedge and levelling course</t>
  </si>
  <si>
    <t>Section 401 - ACP by Gyratory Mix Design Method</t>
  </si>
  <si>
    <t>Asphalt concrete pavement, gyratory mix, wedged and leveling</t>
  </si>
  <si>
    <t>40301</t>
  </si>
  <si>
    <t>Hot asphalt concrete pavement</t>
  </si>
  <si>
    <t>40302</t>
  </si>
  <si>
    <t>Asphalt concrete pavement, gyratory mix</t>
  </si>
  <si>
    <t>Section 402 - ACP by Hveem or Marshall Mix Design Method</t>
  </si>
  <si>
    <t>40201</t>
  </si>
  <si>
    <t>ACP Hveem or Marshall Mix Design Method</t>
  </si>
  <si>
    <t>40202</t>
  </si>
  <si>
    <t>Section 405 - Open-Graded Asphalt Friction Course</t>
  </si>
  <si>
    <t>40501</t>
  </si>
  <si>
    <t>HACP Hveem or Marshall test</t>
  </si>
  <si>
    <t>HACP Hveem or Marshall test, wedge and levelling course</t>
  </si>
  <si>
    <t>FDR with Emulsified Asphalt</t>
  </si>
  <si>
    <t>Open-graded asphalt friction course</t>
  </si>
  <si>
    <t>Section 403 - Asphalt Concrete</t>
  </si>
  <si>
    <t>Asphalt concrete pavement</t>
  </si>
  <si>
    <t>Asphalt concrete pavement*</t>
  </si>
  <si>
    <t>40303</t>
  </si>
  <si>
    <t>Asphalt concrete pavement, wedge and levelling</t>
  </si>
  <si>
    <t>Section 408 - Cold Recycled Asphalt base Course</t>
  </si>
  <si>
    <t>40801</t>
  </si>
  <si>
    <t>Cold recylced aphalt base</t>
  </si>
  <si>
    <t>40802</t>
  </si>
  <si>
    <t>Cold recylced aphalt base*</t>
  </si>
  <si>
    <t>Section 405 - Open-Graded Asphalt Friction</t>
  </si>
  <si>
    <t>Section 416 - Continuous Cold Recycled Asphalt Base Course</t>
  </si>
  <si>
    <t>41601</t>
  </si>
  <si>
    <t>Continuous cold recylced aphalt base</t>
  </si>
  <si>
    <t>Section 418 - Foamed Asphalt Stabilized Base - not in FP (in SCRs)</t>
  </si>
  <si>
    <t>Not applicable</t>
  </si>
  <si>
    <t/>
  </si>
  <si>
    <t>Section 501 - Rigid pavement</t>
  </si>
  <si>
    <t>50101</t>
  </si>
  <si>
    <t>Reinforced rigid pavement</t>
  </si>
  <si>
    <t>50102</t>
  </si>
  <si>
    <t>Plain rigid pavement</t>
  </si>
  <si>
    <t>Embankment construction</t>
  </si>
  <si>
    <t>Aggregate surface course</t>
  </si>
  <si>
    <t>Aggregate surface course*</t>
  </si>
  <si>
    <t>Section 309 - Emulsified Asphalt Treated Base</t>
  </si>
  <si>
    <t>BPI for Low Sulfur, No. 2 Diesel Fuel per Gallon</t>
  </si>
  <si>
    <t>Max MPPI (BPI x 1.6)</t>
  </si>
  <si>
    <t>Maximum Payment to Contractor</t>
  </si>
  <si>
    <t>% of Max. Payment to Contractor (15%-30%)</t>
  </si>
  <si>
    <t xml:space="preserve">Total Quantity of Work x FUF (see 109.06, Table 1)   = </t>
  </si>
  <si>
    <t>Total Contigency Amount (Fuel)</t>
  </si>
  <si>
    <t>109.06-Pricing Adjustments Asphalt Cement</t>
  </si>
  <si>
    <t>BPI for Asphalt Cement per ton</t>
  </si>
  <si>
    <t>Maximum Payment to Contractor (given 6% AC)</t>
  </si>
  <si>
    <t>tons of Asphalt Pavement</t>
  </si>
  <si>
    <t>Total Contigency Amount (Asphalt Cement)</t>
  </si>
  <si>
    <t>109.06-Pricing Adjustments FUEL (continued)</t>
  </si>
  <si>
    <t xml:space="preserve"> </t>
  </si>
  <si>
    <t xml:space="preserve">Schedule: </t>
  </si>
  <si>
    <t>Enter Project Number</t>
  </si>
  <si>
    <t>Bid Amount:</t>
  </si>
  <si>
    <t>Adjustments to Bid Amount (15401 Gov. Lab Trailer)</t>
  </si>
  <si>
    <t>Adjusted Bid Amount:</t>
  </si>
  <si>
    <t>Total Material Incentives:</t>
  </si>
  <si>
    <t>Total Roughness Incentives:</t>
  </si>
  <si>
    <t>Partnering/Completion Incentives:</t>
  </si>
  <si>
    <t>Total Contingencies/Incentives:</t>
  </si>
  <si>
    <t>Revised Bid Amounts (PR Amounts):</t>
  </si>
  <si>
    <t>Summary</t>
  </si>
  <si>
    <t>Sheet2</t>
  </si>
  <si>
    <t>Sheet3</t>
  </si>
  <si>
    <t>Sheet4</t>
  </si>
  <si>
    <t>Sheet5</t>
  </si>
  <si>
    <t>Sheet6</t>
  </si>
  <si>
    <t xml:space="preserve">Units: </t>
  </si>
  <si>
    <t>Total</t>
  </si>
  <si>
    <t>Sheet1</t>
  </si>
  <si>
    <t>Total Fuel Contingency:</t>
  </si>
  <si>
    <t>Total Asphalt Contingency:</t>
  </si>
  <si>
    <t xml:space="preserve">    CFLHD - Acquisition Incentive Summary</t>
  </si>
  <si>
    <t>Enter Project name</t>
  </si>
  <si>
    <t>B</t>
  </si>
  <si>
    <t>US CUSTOMARY</t>
  </si>
  <si>
    <t xml:space="preserve">Option: </t>
  </si>
  <si>
    <t>X</t>
  </si>
  <si>
    <t>Y</t>
  </si>
  <si>
    <t>Z</t>
  </si>
  <si>
    <t>C</t>
  </si>
  <si>
    <r>
      <t>*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The Government, to agree with the units associated with the applicable Fuel Usage Factor, will convert work quantities, as necessary.</t>
    </r>
  </si>
  <si>
    <r>
      <t>*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The Government, to agree with the units associated with the applicable Fuel Usage Factor, will convert work quantities, as necessary.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</si>
</sst>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#,##0.000"/>
    <numFmt numFmtId="166" formatCode="&quot;Rev. &quot;m/d/yyyy"/>
    <numFmt numFmtId="167" formatCode="&quot;$&quot;#,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vertAlign val="superscript"/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63377788628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0" fontId="4" fillId="0" borderId="0"/>
    <xf numFmtId="0" fontId="5" fillId="0" borderId="0"/>
  </cellStyleXfs>
  <cellXfs count="316">
    <xf numFmtId="0" fontId="0" fillId="0" borderId="0" xfId="0"/>
    <xf numFmtId="164" fontId="3" fillId="3" borderId="0" xfId="0" applyNumberFormat="1" applyFont="1" applyFill="1" applyAlignment="1" applyProtection="1">
      <alignment horizontal="left"/>
      <protection locked="0"/>
    </xf>
    <xf numFmtId="164" fontId="3" fillId="3" borderId="0" xfId="0" applyNumberFormat="1" applyFont="1" applyFill="1" applyProtection="1">
      <protection locked="0"/>
    </xf>
    <xf numFmtId="3" fontId="3" fillId="3" borderId="0" xfId="0" applyNumberFormat="1" applyFont="1" applyFill="1" applyAlignment="1" applyProtection="1">
      <alignment horizontal="center"/>
      <protection locked="0"/>
    </xf>
    <xf numFmtId="164" fontId="3" fillId="3" borderId="0" xfId="0" applyNumberFormat="1" applyFont="1" applyFill="1" applyAlignment="1" applyProtection="1">
      <alignment horizontal="center"/>
      <protection locked="0"/>
    </xf>
    <xf numFmtId="165" fontId="3" fillId="3" borderId="0" xfId="0" applyNumberFormat="1" applyFont="1" applyFill="1" applyAlignment="1" applyProtection="1">
      <alignment horizontal="center"/>
      <protection locked="0"/>
    </xf>
    <xf numFmtId="0" fontId="4" fillId="6" borderId="0" xfId="0" applyFont="1" applyFill="1" applyProtection="1"/>
    <xf numFmtId="0" fontId="4" fillId="0" borderId="0" xfId="0" applyFont="1" applyFill="1" applyProtection="1"/>
    <xf numFmtId="3" fontId="4" fillId="0" borderId="0" xfId="0" applyNumberFormat="1" applyFont="1" applyFill="1" applyProtection="1"/>
    <xf numFmtId="164" fontId="4" fillId="0" borderId="0" xfId="0" applyNumberFormat="1" applyFont="1" applyFill="1" applyProtection="1"/>
    <xf numFmtId="3" fontId="8" fillId="0" borderId="0" xfId="0" applyNumberFormat="1" applyFont="1" applyFill="1" applyProtection="1"/>
    <xf numFmtId="0" fontId="4" fillId="0" borderId="0" xfId="0" applyFont="1" applyFill="1" applyAlignment="1" applyProtection="1">
      <alignment horizontal="right"/>
    </xf>
    <xf numFmtId="3" fontId="3" fillId="0" borderId="0" xfId="0" applyNumberFormat="1" applyFont="1" applyFill="1" applyProtection="1"/>
    <xf numFmtId="164" fontId="3" fillId="0" borderId="0" xfId="0" applyNumberFormat="1" applyFont="1" applyFill="1" applyProtection="1"/>
    <xf numFmtId="164" fontId="4" fillId="0" borderId="0" xfId="0" applyNumberFormat="1" applyFont="1" applyFill="1" applyAlignment="1" applyProtection="1">
      <alignment horizontal="right"/>
    </xf>
    <xf numFmtId="1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3" fontId="3" fillId="0" borderId="0" xfId="0" applyNumberFormat="1" applyFont="1" applyFill="1" applyAlignment="1" applyProtection="1">
      <alignment horizontal="center"/>
    </xf>
    <xf numFmtId="164" fontId="4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0" fontId="4" fillId="6" borderId="0" xfId="0" applyFont="1" applyFill="1" applyAlignment="1" applyProtection="1"/>
    <xf numFmtId="0" fontId="4" fillId="0" borderId="3" xfId="0" applyFont="1" applyFill="1" applyBorder="1" applyAlignment="1" applyProtection="1">
      <alignment horizontal="center"/>
    </xf>
    <xf numFmtId="164" fontId="9" fillId="0" borderId="0" xfId="0" applyNumberFormat="1" applyFont="1" applyFill="1" applyAlignment="1" applyProtection="1">
      <alignment horizontal="center"/>
    </xf>
    <xf numFmtId="0" fontId="5" fillId="6" borderId="0" xfId="0" applyFont="1" applyFill="1" applyProtection="1"/>
    <xf numFmtId="0" fontId="5" fillId="0" borderId="0" xfId="0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center"/>
    </xf>
    <xf numFmtId="164" fontId="9" fillId="0" borderId="0" xfId="2" applyNumberFormat="1" applyFont="1" applyFill="1" applyAlignment="1" applyProtection="1">
      <alignment horizontal="center"/>
    </xf>
    <xf numFmtId="166" fontId="6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 applyProtection="1">
      <alignment horizontal="center"/>
    </xf>
    <xf numFmtId="3" fontId="4" fillId="6" borderId="0" xfId="0" applyNumberFormat="1" applyFont="1" applyFill="1" applyProtection="1"/>
    <xf numFmtId="164" fontId="4" fillId="6" borderId="0" xfId="0" applyNumberFormat="1" applyFont="1" applyFill="1" applyProtection="1"/>
    <xf numFmtId="0" fontId="11" fillId="0" borderId="0" xfId="0" applyFont="1" applyFill="1" applyAlignment="1" applyProtection="1">
      <alignment horizontal="right"/>
    </xf>
    <xf numFmtId="0" fontId="11" fillId="0" borderId="0" xfId="0" applyFont="1" applyFill="1" applyProtection="1"/>
    <xf numFmtId="0" fontId="3" fillId="7" borderId="0" xfId="0" applyFont="1" applyFill="1" applyBorder="1" applyAlignment="1" applyProtection="1">
      <alignment horizontal="left"/>
      <protection locked="0"/>
    </xf>
    <xf numFmtId="3" fontId="3" fillId="7" borderId="0" xfId="0" applyNumberFormat="1" applyFont="1" applyFill="1" applyProtection="1">
      <protection locked="0"/>
    </xf>
    <xf numFmtId="0" fontId="4" fillId="0" borderId="0" xfId="0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3" fontId="4" fillId="0" borderId="0" xfId="0" applyNumberFormat="1" applyFont="1" applyFill="1" applyBorder="1" applyProtection="1"/>
    <xf numFmtId="164" fontId="4" fillId="0" borderId="0" xfId="0" applyNumberFormat="1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166" fontId="6" fillId="0" borderId="0" xfId="2" applyNumberFormat="1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Protection="1"/>
    <xf numFmtId="0" fontId="3" fillId="5" borderId="4" xfId="0" applyFont="1" applyFill="1" applyBorder="1" applyAlignment="1" applyProtection="1">
      <alignment horizontal="left"/>
    </xf>
    <xf numFmtId="0" fontId="4" fillId="5" borderId="5" xfId="0" applyFont="1" applyFill="1" applyBorder="1" applyAlignment="1" applyProtection="1">
      <alignment horizontal="left"/>
    </xf>
    <xf numFmtId="0" fontId="4" fillId="5" borderId="5" xfId="0" applyFont="1" applyFill="1" applyBorder="1" applyAlignment="1" applyProtection="1">
      <alignment horizontal="center"/>
    </xf>
    <xf numFmtId="164" fontId="4" fillId="5" borderId="5" xfId="0" applyNumberFormat="1" applyFont="1" applyFill="1" applyBorder="1" applyAlignment="1" applyProtection="1">
      <alignment horizontal="center"/>
    </xf>
    <xf numFmtId="3" fontId="4" fillId="5" borderId="5" xfId="0" applyNumberFormat="1" applyFont="1" applyFill="1" applyBorder="1" applyAlignment="1" applyProtection="1">
      <alignment horizontal="center"/>
    </xf>
    <xf numFmtId="164" fontId="4" fillId="5" borderId="6" xfId="0" applyNumberFormat="1" applyFont="1" applyFill="1" applyBorder="1" applyAlignment="1" applyProtection="1">
      <alignment horizontal="center"/>
    </xf>
    <xf numFmtId="0" fontId="17" fillId="5" borderId="4" xfId="0" applyFont="1" applyFill="1" applyBorder="1" applyAlignment="1" applyProtection="1">
      <alignment horizontal="left"/>
    </xf>
    <xf numFmtId="0" fontId="13" fillId="5" borderId="5" xfId="0" applyFont="1" applyFill="1" applyBorder="1" applyAlignment="1" applyProtection="1">
      <alignment horizontal="left"/>
    </xf>
    <xf numFmtId="3" fontId="3" fillId="5" borderId="5" xfId="0" applyNumberFormat="1" applyFont="1" applyFill="1" applyBorder="1" applyAlignment="1" applyProtection="1">
      <alignment horizontal="center"/>
    </xf>
    <xf numFmtId="0" fontId="11" fillId="5" borderId="5" xfId="0" applyFont="1" applyFill="1" applyBorder="1" applyAlignment="1" applyProtection="1">
      <alignment horizontal="left"/>
    </xf>
    <xf numFmtId="4" fontId="4" fillId="5" borderId="6" xfId="0" applyNumberFormat="1" applyFont="1" applyFill="1" applyBorder="1" applyAlignment="1" applyProtection="1">
      <alignment horizontal="center"/>
    </xf>
    <xf numFmtId="0" fontId="19" fillId="5" borderId="4" xfId="0" applyFont="1" applyFill="1" applyBorder="1" applyAlignment="1" applyProtection="1">
      <alignment horizontal="left"/>
    </xf>
    <xf numFmtId="0" fontId="5" fillId="5" borderId="5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/>
    </xf>
    <xf numFmtId="3" fontId="20" fillId="5" borderId="5" xfId="0" applyNumberFormat="1" applyFont="1" applyFill="1" applyBorder="1" applyAlignment="1" applyProtection="1">
      <alignment horizontal="center"/>
    </xf>
    <xf numFmtId="3" fontId="20" fillId="0" borderId="0" xfId="0" applyNumberFormat="1" applyFont="1" applyFill="1" applyAlignment="1" applyProtection="1">
      <alignment horizontal="center"/>
    </xf>
    <xf numFmtId="164" fontId="8" fillId="0" borderId="0" xfId="0" applyNumberFormat="1" applyFont="1" applyFill="1" applyAlignment="1" applyProtection="1">
      <alignment horizontal="left"/>
    </xf>
    <xf numFmtId="3" fontId="9" fillId="3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/>
    <xf numFmtId="0" fontId="0" fillId="8" borderId="7" xfId="0" applyFill="1" applyBorder="1" applyAlignment="1">
      <alignment horizontal="center" vertical="center"/>
    </xf>
    <xf numFmtId="4" fontId="5" fillId="5" borderId="6" xfId="0" applyNumberFormat="1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0" fontId="11" fillId="9" borderId="0" xfId="0" applyFont="1" applyFill="1" applyBorder="1" applyAlignment="1" applyProtection="1">
      <alignment horizontal="left"/>
    </xf>
    <xf numFmtId="0" fontId="13" fillId="9" borderId="0" xfId="0" applyFont="1" applyFill="1" applyBorder="1" applyAlignment="1" applyProtection="1">
      <alignment horizontal="left"/>
    </xf>
    <xf numFmtId="164" fontId="5" fillId="5" borderId="5" xfId="0" applyNumberFormat="1" applyFont="1" applyFill="1" applyBorder="1" applyAlignment="1" applyProtection="1">
      <alignment horizontal="center"/>
    </xf>
    <xf numFmtId="0" fontId="18" fillId="0" borderId="0" xfId="0" applyFont="1" applyFill="1"/>
    <xf numFmtId="164" fontId="8" fillId="0" borderId="0" xfId="0" applyNumberFormat="1" applyFont="1" applyFill="1" applyAlignment="1" applyProtection="1">
      <alignment horizontal="center"/>
    </xf>
    <xf numFmtId="0" fontId="14" fillId="9" borderId="13" xfId="0" applyFont="1" applyFill="1" applyBorder="1" applyAlignment="1" applyProtection="1">
      <alignment horizontal="center"/>
    </xf>
    <xf numFmtId="0" fontId="13" fillId="9" borderId="8" xfId="0" applyFont="1" applyFill="1" applyBorder="1" applyAlignment="1" applyProtection="1">
      <alignment horizontal="left"/>
    </xf>
    <xf numFmtId="0" fontId="0" fillId="9" borderId="8" xfId="0" applyFill="1" applyBorder="1"/>
    <xf numFmtId="0" fontId="0" fillId="9" borderId="8" xfId="0" applyFill="1" applyBorder="1" applyAlignment="1">
      <alignment horizontal="center"/>
    </xf>
    <xf numFmtId="0" fontId="0" fillId="9" borderId="14" xfId="0" applyFill="1" applyBorder="1"/>
    <xf numFmtId="0" fontId="14" fillId="9" borderId="11" xfId="0" applyFont="1" applyFill="1" applyBorder="1" applyAlignment="1" applyProtection="1">
      <alignment horizontal="center"/>
    </xf>
    <xf numFmtId="0" fontId="0" fillId="9" borderId="0" xfId="0" applyFill="1" applyBorder="1"/>
    <xf numFmtId="0" fontId="0" fillId="9" borderId="12" xfId="0" applyFill="1" applyBorder="1"/>
    <xf numFmtId="0" fontId="14" fillId="0" borderId="13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0" fillId="10" borderId="7" xfId="0" applyFill="1" applyBorder="1"/>
    <xf numFmtId="0" fontId="0" fillId="10" borderId="10" xfId="0" applyFill="1" applyBorder="1"/>
    <xf numFmtId="0" fontId="0" fillId="10" borderId="0" xfId="0" applyFill="1" applyBorder="1"/>
    <xf numFmtId="0" fontId="0" fillId="10" borderId="12" xfId="0" applyFill="1" applyBorder="1"/>
    <xf numFmtId="0" fontId="3" fillId="8" borderId="9" xfId="0" applyFont="1" applyFill="1" applyBorder="1" applyAlignment="1" applyProtection="1">
      <alignment horizontal="left"/>
    </xf>
    <xf numFmtId="0" fontId="0" fillId="8" borderId="7" xfId="0" applyFill="1" applyBorder="1"/>
    <xf numFmtId="0" fontId="0" fillId="8" borderId="7" xfId="0" applyFill="1" applyBorder="1" applyAlignment="1">
      <alignment horizontal="center"/>
    </xf>
    <xf numFmtId="0" fontId="0" fillId="8" borderId="10" xfId="0" applyFill="1" applyBorder="1"/>
    <xf numFmtId="2" fontId="11" fillId="8" borderId="11" xfId="0" applyNumberFormat="1" applyFont="1" applyFill="1" applyBorder="1" applyAlignment="1" applyProtection="1">
      <alignment horizontal="center"/>
    </xf>
    <xf numFmtId="0" fontId="11" fillId="8" borderId="0" xfId="0" applyFont="1" applyFill="1" applyBorder="1" applyAlignment="1" applyProtection="1">
      <alignment horizontal="left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0" fillId="8" borderId="12" xfId="0" applyFill="1" applyBorder="1"/>
    <xf numFmtId="0" fontId="12" fillId="8" borderId="9" xfId="0" applyFont="1" applyFill="1" applyBorder="1"/>
    <xf numFmtId="0" fontId="11" fillId="8" borderId="11" xfId="0" applyFont="1" applyFill="1" applyBorder="1"/>
    <xf numFmtId="0" fontId="11" fillId="8" borderId="0" xfId="0" applyFont="1" applyFill="1" applyBorder="1"/>
    <xf numFmtId="0" fontId="11" fillId="8" borderId="13" xfId="0" applyFont="1" applyFill="1" applyBorder="1"/>
    <xf numFmtId="0" fontId="11" fillId="8" borderId="8" xfId="0" applyFont="1" applyFill="1" applyBorder="1"/>
    <xf numFmtId="0" fontId="0" fillId="8" borderId="8" xfId="0" applyFill="1" applyBorder="1"/>
    <xf numFmtId="0" fontId="0" fillId="8" borderId="8" xfId="0" applyFill="1" applyBorder="1" applyAlignment="1">
      <alignment horizontal="center"/>
    </xf>
    <xf numFmtId="0" fontId="0" fillId="8" borderId="14" xfId="0" applyFill="1" applyBorder="1"/>
    <xf numFmtId="0" fontId="17" fillId="8" borderId="9" xfId="0" applyFont="1" applyFill="1" applyBorder="1" applyAlignment="1" applyProtection="1">
      <alignment horizontal="left"/>
    </xf>
    <xf numFmtId="0" fontId="4" fillId="8" borderId="7" xfId="0" applyFont="1" applyFill="1" applyBorder="1" applyAlignment="1" applyProtection="1">
      <alignment horizontal="left"/>
    </xf>
    <xf numFmtId="0" fontId="16" fillId="8" borderId="11" xfId="0" applyFont="1" applyFill="1" applyBorder="1" applyAlignment="1" applyProtection="1">
      <alignment horizontal="center"/>
    </xf>
    <xf numFmtId="0" fontId="0" fillId="8" borderId="0" xfId="0" applyFill="1" applyBorder="1" applyAlignment="1">
      <alignment horizontal="center" vertical="center"/>
    </xf>
    <xf numFmtId="0" fontId="19" fillId="8" borderId="4" xfId="0" applyFont="1" applyFill="1" applyBorder="1" applyAlignment="1" applyProtection="1">
      <alignment horizontal="left"/>
    </xf>
    <xf numFmtId="0" fontId="5" fillId="8" borderId="5" xfId="0" applyFont="1" applyFill="1" applyBorder="1" applyAlignment="1" applyProtection="1">
      <alignment horizontal="left"/>
    </xf>
    <xf numFmtId="0" fontId="14" fillId="8" borderId="11" xfId="0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left"/>
    </xf>
    <xf numFmtId="2" fontId="11" fillId="9" borderId="13" xfId="0" applyNumberFormat="1" applyFont="1" applyFill="1" applyBorder="1" applyAlignment="1" applyProtection="1">
      <alignment horizontal="center"/>
    </xf>
    <xf numFmtId="0" fontId="11" fillId="9" borderId="8" xfId="0" applyFont="1" applyFill="1" applyBorder="1" applyAlignment="1" applyProtection="1">
      <alignment horizontal="left"/>
    </xf>
    <xf numFmtId="0" fontId="15" fillId="9" borderId="8" xfId="3" applyFont="1" applyFill="1" applyBorder="1" applyAlignment="1">
      <alignment vertical="center"/>
    </xf>
    <xf numFmtId="0" fontId="5" fillId="8" borderId="7" xfId="0" applyFont="1" applyFill="1" applyBorder="1" applyAlignment="1" applyProtection="1">
      <alignment horizontal="left"/>
    </xf>
    <xf numFmtId="0" fontId="15" fillId="8" borderId="7" xfId="3" applyFont="1" applyFill="1" applyBorder="1" applyAlignment="1">
      <alignment vertical="center"/>
    </xf>
    <xf numFmtId="0" fontId="15" fillId="8" borderId="0" xfId="3" applyFont="1" applyFill="1" applyBorder="1" applyAlignment="1">
      <alignment vertical="center"/>
    </xf>
    <xf numFmtId="0" fontId="11" fillId="9" borderId="11" xfId="0" applyFont="1" applyFill="1" applyBorder="1"/>
    <xf numFmtId="0" fontId="11" fillId="9" borderId="0" xfId="0" applyFont="1" applyFill="1" applyBorder="1"/>
    <xf numFmtId="0" fontId="0" fillId="9" borderId="0" xfId="0" applyFill="1" applyBorder="1" applyAlignment="1">
      <alignment horizontal="center"/>
    </xf>
    <xf numFmtId="0" fontId="16" fillId="9" borderId="13" xfId="0" applyFont="1" applyFill="1" applyBorder="1" applyAlignment="1" applyProtection="1">
      <alignment horizontal="center"/>
    </xf>
    <xf numFmtId="0" fontId="0" fillId="9" borderId="8" xfId="0" applyFill="1" applyBorder="1" applyAlignment="1">
      <alignment horizontal="center" vertical="center"/>
    </xf>
    <xf numFmtId="0" fontId="16" fillId="9" borderId="11" xfId="0" applyFont="1" applyFill="1" applyBorder="1" applyAlignment="1" applyProtection="1">
      <alignment horizontal="center"/>
    </xf>
    <xf numFmtId="0" fontId="0" fillId="9" borderId="0" xfId="0" applyFill="1" applyBorder="1" applyAlignment="1">
      <alignment horizontal="center" vertical="center"/>
    </xf>
    <xf numFmtId="0" fontId="11" fillId="8" borderId="7" xfId="0" applyFont="1" applyFill="1" applyBorder="1" applyAlignment="1" applyProtection="1">
      <alignment horizontal="left"/>
    </xf>
    <xf numFmtId="0" fontId="18" fillId="0" borderId="0" xfId="0" applyFont="1" applyFill="1" applyBorder="1"/>
    <xf numFmtId="0" fontId="8" fillId="8" borderId="5" xfId="0" applyFont="1" applyFill="1" applyBorder="1" applyAlignment="1" applyProtection="1">
      <alignment horizontal="left"/>
    </xf>
    <xf numFmtId="0" fontId="14" fillId="8" borderId="13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left"/>
    </xf>
    <xf numFmtId="0" fontId="19" fillId="10" borderId="4" xfId="0" applyFont="1" applyFill="1" applyBorder="1" applyAlignment="1" applyProtection="1">
      <alignment horizontal="left"/>
    </xf>
    <xf numFmtId="0" fontId="5" fillId="10" borderId="5" xfId="0" applyFont="1" applyFill="1" applyBorder="1" applyAlignment="1" applyProtection="1">
      <alignment horizontal="left"/>
    </xf>
    <xf numFmtId="0" fontId="14" fillId="10" borderId="11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left"/>
    </xf>
    <xf numFmtId="0" fontId="14" fillId="10" borderId="13" xfId="0" applyFont="1" applyFill="1" applyBorder="1" applyAlignment="1" applyProtection="1">
      <alignment horizontal="center"/>
    </xf>
    <xf numFmtId="0" fontId="13" fillId="10" borderId="8" xfId="0" applyFont="1" applyFill="1" applyBorder="1" applyAlignment="1" applyProtection="1">
      <alignment horizontal="left"/>
    </xf>
    <xf numFmtId="0" fontId="21" fillId="9" borderId="8" xfId="0" applyFont="1" applyFill="1" applyBorder="1"/>
    <xf numFmtId="0" fontId="0" fillId="10" borderId="8" xfId="0" applyFill="1" applyBorder="1"/>
    <xf numFmtId="0" fontId="0" fillId="10" borderId="14" xfId="0" applyFill="1" applyBorder="1"/>
    <xf numFmtId="0" fontId="21" fillId="9" borderId="14" xfId="0" applyFont="1" applyFill="1" applyBorder="1"/>
    <xf numFmtId="164" fontId="8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0" fillId="0" borderId="8" xfId="0" applyBorder="1"/>
    <xf numFmtId="0" fontId="0" fillId="0" borderId="14" xfId="0" applyBorder="1"/>
    <xf numFmtId="0" fontId="19" fillId="0" borderId="9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0" fillId="0" borderId="7" xfId="0" applyFill="1" applyBorder="1"/>
    <xf numFmtId="0" fontId="0" fillId="0" borderId="10" xfId="0" applyFill="1" applyBorder="1"/>
    <xf numFmtId="0" fontId="13" fillId="0" borderId="0" xfId="0" applyFont="1" applyFill="1" applyBorder="1" applyAlignment="1" applyProtection="1">
      <alignment horizontal="left" wrapText="1"/>
    </xf>
    <xf numFmtId="0" fontId="5" fillId="5" borderId="5" xfId="0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center" vertical="center"/>
    </xf>
    <xf numFmtId="3" fontId="20" fillId="5" borderId="5" xfId="0" applyNumberFormat="1" applyFont="1" applyFill="1" applyBorder="1" applyAlignment="1" applyProtection="1">
      <alignment horizontal="center" vertical="center"/>
    </xf>
    <xf numFmtId="4" fontId="5" fillId="5" borderId="6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2" fontId="11" fillId="11" borderId="13" xfId="0" applyNumberFormat="1" applyFont="1" applyFill="1" applyBorder="1" applyAlignment="1" applyProtection="1">
      <alignment horizontal="center"/>
    </xf>
    <xf numFmtId="0" fontId="11" fillId="11" borderId="8" xfId="0" applyFont="1" applyFill="1" applyBorder="1" applyAlignment="1" applyProtection="1">
      <alignment horizontal="left"/>
    </xf>
    <xf numFmtId="0" fontId="0" fillId="11" borderId="8" xfId="0" applyFill="1" applyBorder="1"/>
    <xf numFmtId="0" fontId="0" fillId="11" borderId="8" xfId="0" applyFill="1" applyBorder="1" applyAlignment="1">
      <alignment horizontal="center"/>
    </xf>
    <xf numFmtId="0" fontId="0" fillId="11" borderId="14" xfId="0" applyFill="1" applyBorder="1"/>
    <xf numFmtId="0" fontId="11" fillId="11" borderId="11" xfId="0" applyFont="1" applyFill="1" applyBorder="1"/>
    <xf numFmtId="0" fontId="11" fillId="11" borderId="0" xfId="0" applyFont="1" applyFill="1" applyBorder="1"/>
    <xf numFmtId="0" fontId="0" fillId="11" borderId="0" xfId="0" applyFill="1" applyBorder="1"/>
    <xf numFmtId="0" fontId="0" fillId="11" borderId="0" xfId="0" applyFill="1" applyBorder="1" applyAlignment="1">
      <alignment horizontal="center"/>
    </xf>
    <xf numFmtId="0" fontId="0" fillId="11" borderId="12" xfId="0" applyFill="1" applyBorder="1"/>
    <xf numFmtId="0" fontId="16" fillId="11" borderId="13" xfId="0" applyFont="1" applyFill="1" applyBorder="1" applyAlignment="1" applyProtection="1">
      <alignment horizontal="center"/>
    </xf>
    <xf numFmtId="0" fontId="0" fillId="11" borderId="8" xfId="0" applyFill="1" applyBorder="1" applyAlignment="1">
      <alignment horizontal="center" vertical="center"/>
    </xf>
    <xf numFmtId="0" fontId="14" fillId="11" borderId="13" xfId="0" applyFont="1" applyFill="1" applyBorder="1" applyAlignment="1" applyProtection="1">
      <alignment horizontal="center"/>
    </xf>
    <xf numFmtId="0" fontId="13" fillId="11" borderId="8" xfId="0" applyFont="1" applyFill="1" applyBorder="1" applyAlignment="1" applyProtection="1">
      <alignment horizontal="left"/>
    </xf>
    <xf numFmtId="0" fontId="19" fillId="11" borderId="4" xfId="0" applyFont="1" applyFill="1" applyBorder="1" applyAlignment="1" applyProtection="1">
      <alignment horizontal="left"/>
    </xf>
    <xf numFmtId="0" fontId="8" fillId="11" borderId="5" xfId="0" applyFont="1" applyFill="1" applyBorder="1" applyAlignment="1" applyProtection="1">
      <alignment horizontal="left"/>
    </xf>
    <xf numFmtId="0" fontId="0" fillId="11" borderId="7" xfId="0" applyFill="1" applyBorder="1"/>
    <xf numFmtId="0" fontId="0" fillId="11" borderId="10" xfId="0" applyFill="1" applyBorder="1"/>
    <xf numFmtId="0" fontId="0" fillId="11" borderId="7" xfId="0" applyFill="1" applyBorder="1" applyAlignment="1">
      <alignment horizontal="center"/>
    </xf>
    <xf numFmtId="0" fontId="5" fillId="11" borderId="5" xfId="0" applyFont="1" applyFill="1" applyBorder="1" applyAlignment="1" applyProtection="1">
      <alignment horizontal="left"/>
    </xf>
    <xf numFmtId="0" fontId="14" fillId="11" borderId="11" xfId="0" applyFont="1" applyFill="1" applyBorder="1" applyAlignment="1" applyProtection="1">
      <alignment horizontal="center"/>
    </xf>
    <xf numFmtId="0" fontId="13" fillId="11" borderId="0" xfId="0" applyFont="1" applyFill="1" applyBorder="1" applyAlignment="1" applyProtection="1">
      <alignment horizontal="left"/>
    </xf>
    <xf numFmtId="0" fontId="16" fillId="0" borderId="5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3" fontId="3" fillId="3" borderId="5" xfId="0" applyNumberFormat="1" applyFont="1" applyFill="1" applyBorder="1" applyAlignment="1" applyProtection="1">
      <alignment horizontal="center"/>
      <protection locked="0"/>
    </xf>
    <xf numFmtId="3" fontId="3" fillId="0" borderId="5" xfId="0" applyNumberFormat="1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left" wrapText="1"/>
    </xf>
    <xf numFmtId="0" fontId="16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left" vertical="center" wrapText="1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/>
    </xf>
    <xf numFmtId="3" fontId="9" fillId="3" borderId="5" xfId="0" applyNumberFormat="1" applyFont="1" applyFill="1" applyBorder="1" applyAlignment="1" applyProtection="1">
      <alignment horizontal="center"/>
      <protection locked="0"/>
    </xf>
    <xf numFmtId="3" fontId="20" fillId="0" borderId="5" xfId="0" applyNumberFormat="1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wrapText="1"/>
    </xf>
    <xf numFmtId="3" fontId="9" fillId="3" borderId="5" xfId="0" applyNumberFormat="1" applyFont="1" applyFill="1" applyBorder="1" applyAlignment="1" applyProtection="1">
      <alignment horizontal="center" vertical="center"/>
      <protection locked="0"/>
    </xf>
    <xf numFmtId="3" fontId="20" fillId="0" borderId="5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wrapText="1"/>
    </xf>
    <xf numFmtId="3" fontId="20" fillId="0" borderId="7" xfId="0" applyNumberFormat="1" applyFont="1" applyFill="1" applyBorder="1" applyAlignment="1" applyProtection="1">
      <alignment horizontal="center" vertical="center"/>
    </xf>
    <xf numFmtId="3" fontId="20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3" fontId="4" fillId="0" borderId="5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3" fontId="4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167" fontId="22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right" vertical="center"/>
    </xf>
    <xf numFmtId="3" fontId="4" fillId="0" borderId="10" xfId="0" applyNumberFormat="1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left"/>
    </xf>
    <xf numFmtId="164" fontId="4" fillId="0" borderId="12" xfId="0" applyNumberFormat="1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right"/>
    </xf>
    <xf numFmtId="0" fontId="4" fillId="0" borderId="11" xfId="0" applyFont="1" applyFill="1" applyBorder="1" applyProtection="1"/>
    <xf numFmtId="4" fontId="4" fillId="0" borderId="12" xfId="0" applyNumberFormat="1" applyFont="1" applyFill="1" applyBorder="1" applyAlignment="1" applyProtection="1">
      <alignment horizontal="center"/>
    </xf>
    <xf numFmtId="167" fontId="4" fillId="0" borderId="12" xfId="0" applyNumberFormat="1" applyFont="1" applyFill="1" applyBorder="1" applyAlignment="1" applyProtection="1">
      <alignment horizontal="center"/>
    </xf>
    <xf numFmtId="0" fontId="4" fillId="0" borderId="4" xfId="0" applyFont="1" applyFill="1" applyBorder="1" applyProtection="1"/>
    <xf numFmtId="0" fontId="4" fillId="0" borderId="5" xfId="0" applyFont="1" applyFill="1" applyBorder="1" applyProtection="1"/>
    <xf numFmtId="3" fontId="3" fillId="0" borderId="5" xfId="0" applyNumberFormat="1" applyFont="1" applyFill="1" applyBorder="1" applyAlignment="1" applyProtection="1">
      <alignment horizontal="right"/>
    </xf>
    <xf numFmtId="3" fontId="4" fillId="0" borderId="5" xfId="0" applyNumberFormat="1" applyFont="1" applyFill="1" applyBorder="1" applyProtection="1"/>
    <xf numFmtId="167" fontId="22" fillId="0" borderId="6" xfId="0" applyNumberFormat="1" applyFont="1" applyFill="1" applyBorder="1" applyAlignment="1" applyProtection="1">
      <alignment horizontal="center"/>
    </xf>
    <xf numFmtId="0" fontId="3" fillId="10" borderId="15" xfId="0" applyFont="1" applyFill="1" applyBorder="1" applyAlignment="1" applyProtection="1">
      <alignment horizontal="centerContinuous" vertical="center"/>
    </xf>
    <xf numFmtId="0" fontId="4" fillId="10" borderId="2" xfId="0" applyFont="1" applyFill="1" applyBorder="1" applyAlignment="1" applyProtection="1">
      <alignment horizontal="centerContinuous" vertical="center"/>
    </xf>
    <xf numFmtId="0" fontId="4" fillId="10" borderId="16" xfId="0" applyFont="1" applyFill="1" applyBorder="1" applyAlignment="1" applyProtection="1">
      <alignment horizontal="centerContinuous" vertical="center"/>
    </xf>
    <xf numFmtId="0" fontId="3" fillId="13" borderId="15" xfId="0" applyFont="1" applyFill="1" applyBorder="1" applyAlignment="1" applyProtection="1">
      <alignment horizontal="centerContinuous"/>
    </xf>
    <xf numFmtId="0" fontId="4" fillId="13" borderId="2" xfId="0" applyFont="1" applyFill="1" applyBorder="1" applyAlignment="1" applyProtection="1">
      <alignment horizontal="centerContinuous"/>
    </xf>
    <xf numFmtId="0" fontId="4" fillId="13" borderId="16" xfId="0" applyFont="1" applyFill="1" applyBorder="1" applyAlignment="1" applyProtection="1">
      <alignment horizontal="centerContinuous"/>
    </xf>
    <xf numFmtId="0" fontId="14" fillId="0" borderId="5" xfId="3" applyFont="1" applyFill="1" applyBorder="1" applyAlignment="1" applyProtection="1">
      <alignment horizontal="center" vertical="center"/>
    </xf>
    <xf numFmtId="0" fontId="13" fillId="0" borderId="5" xfId="3" applyFont="1" applyFill="1" applyBorder="1" applyAlignment="1" applyProtection="1">
      <alignment horizontal="left" vertical="center"/>
    </xf>
    <xf numFmtId="0" fontId="11" fillId="0" borderId="5" xfId="0" applyFont="1" applyBorder="1" applyAlignment="1" applyProtection="1">
      <alignment wrapText="1"/>
    </xf>
    <xf numFmtId="3" fontId="5" fillId="0" borderId="5" xfId="0" applyNumberFormat="1" applyFont="1" applyFill="1" applyBorder="1" applyAlignment="1" applyProtection="1">
      <alignment horizontal="center"/>
    </xf>
    <xf numFmtId="0" fontId="21" fillId="0" borderId="7" xfId="0" applyFont="1" applyFill="1" applyBorder="1" applyAlignment="1" applyProtection="1"/>
    <xf numFmtId="164" fontId="5" fillId="0" borderId="7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3" fontId="5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Fill="1" applyAlignment="1" applyProtection="1">
      <alignment horizontal="center"/>
      <protection locked="0"/>
    </xf>
    <xf numFmtId="165" fontId="3" fillId="0" borderId="0" xfId="0" applyNumberFormat="1" applyFont="1" applyFill="1" applyAlignment="1" applyProtection="1">
      <alignment horizontal="center"/>
      <protection locked="0"/>
    </xf>
    <xf numFmtId="3" fontId="9" fillId="0" borderId="7" xfId="0" applyNumberFormat="1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4" fontId="4" fillId="12" borderId="12" xfId="0" applyNumberFormat="1" applyFont="1" applyFill="1" applyBorder="1" applyAlignment="1" applyProtection="1">
      <alignment horizontal="center"/>
      <protection locked="0"/>
    </xf>
    <xf numFmtId="1" fontId="4" fillId="12" borderId="12" xfId="0" applyNumberFormat="1" applyFont="1" applyFill="1" applyBorder="1" applyAlignment="1" applyProtection="1">
      <alignment horizontal="center"/>
      <protection locked="0"/>
    </xf>
    <xf numFmtId="3" fontId="4" fillId="12" borderId="1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3" fontId="0" fillId="0" borderId="0" xfId="0" applyNumberFormat="1" applyAlignment="1" applyProtection="1">
      <alignment vertical="center"/>
    </xf>
    <xf numFmtId="164" fontId="4" fillId="3" borderId="0" xfId="0" applyNumberFormat="1" applyFont="1" applyFill="1" applyAlignment="1" applyProtection="1">
      <alignment horizontal="right"/>
      <protection locked="0"/>
    </xf>
    <xf numFmtId="3" fontId="0" fillId="3" borderId="0" xfId="0" applyNumberFormat="1" applyFill="1" applyAlignment="1" applyProtection="1">
      <alignment horizontal="right" vertical="center"/>
      <protection locked="0"/>
    </xf>
    <xf numFmtId="3" fontId="0" fillId="0" borderId="0" xfId="0" applyNumberFormat="1" applyFill="1" applyAlignment="1" applyProtection="1">
      <alignment horizontal="right" vertical="center"/>
      <protection locked="0"/>
    </xf>
    <xf numFmtId="0" fontId="0" fillId="0" borderId="0" xfId="0" applyFill="1"/>
    <xf numFmtId="0" fontId="5" fillId="0" borderId="0" xfId="3" applyFont="1" applyFill="1" applyBorder="1" applyAlignment="1">
      <alignment horizontal="left"/>
    </xf>
    <xf numFmtId="0" fontId="5" fillId="0" borderId="0" xfId="3" applyFont="1" applyFill="1" applyAlignment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26" fillId="0" borderId="0" xfId="0" applyFont="1" applyFill="1" applyBorder="1" applyAlignment="1" applyProtection="1">
      <alignment horizontal="center" vertical="center"/>
    </xf>
    <xf numFmtId="3" fontId="0" fillId="0" borderId="0" xfId="0" applyNumberFormat="1" applyAlignment="1" applyProtection="1">
      <alignment horizontal="left" vertical="center"/>
    </xf>
    <xf numFmtId="0" fontId="9" fillId="0" borderId="17" xfId="3" applyFont="1" applyFill="1" applyBorder="1" applyAlignment="1">
      <alignment horizontal="left"/>
    </xf>
    <xf numFmtId="0" fontId="0" fillId="0" borderId="17" xfId="0" applyBorder="1"/>
    <xf numFmtId="164" fontId="4" fillId="3" borderId="17" xfId="0" applyNumberFormat="1" applyFont="1" applyFill="1" applyBorder="1" applyAlignment="1" applyProtection="1">
      <alignment horizontal="right"/>
      <protection locked="0"/>
    </xf>
    <xf numFmtId="164" fontId="4" fillId="0" borderId="17" xfId="0" applyNumberFormat="1" applyFont="1" applyBorder="1" applyAlignment="1">
      <alignment horizontal="right"/>
    </xf>
    <xf numFmtId="0" fontId="5" fillId="0" borderId="17" xfId="3" applyFont="1" applyFill="1" applyBorder="1" applyAlignment="1">
      <alignment horizontal="left"/>
    </xf>
    <xf numFmtId="0" fontId="5" fillId="0" borderId="18" xfId="3" applyFont="1" applyFill="1" applyBorder="1" applyAlignment="1">
      <alignment horizontal="left"/>
    </xf>
    <xf numFmtId="0" fontId="0" fillId="0" borderId="18" xfId="0" applyBorder="1"/>
    <xf numFmtId="164" fontId="4" fillId="0" borderId="18" xfId="0" applyNumberFormat="1" applyFont="1" applyBorder="1" applyAlignment="1">
      <alignment horizontal="right"/>
    </xf>
    <xf numFmtId="0" fontId="25" fillId="0" borderId="15" xfId="3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164" fontId="3" fillId="0" borderId="2" xfId="0" applyNumberFormat="1" applyFont="1" applyBorder="1" applyAlignment="1">
      <alignment horizontal="right" vertical="center"/>
    </xf>
    <xf numFmtId="0" fontId="5" fillId="0" borderId="19" xfId="3" applyFont="1" applyFill="1" applyBorder="1" applyAlignment="1">
      <alignment horizontal="left"/>
    </xf>
    <xf numFmtId="0" fontId="0" fillId="0" borderId="19" xfId="0" applyBorder="1"/>
    <xf numFmtId="164" fontId="4" fillId="3" borderId="19" xfId="0" applyNumberFormat="1" applyFont="1" applyFill="1" applyBorder="1" applyAlignment="1" applyProtection="1">
      <alignment horizontal="right"/>
      <protection locked="0"/>
    </xf>
    <xf numFmtId="164" fontId="4" fillId="0" borderId="19" xfId="0" applyNumberFormat="1" applyFont="1" applyBorder="1" applyAlignment="1">
      <alignment horizontal="right"/>
    </xf>
    <xf numFmtId="0" fontId="9" fillId="0" borderId="7" xfId="3" applyFont="1" applyFill="1" applyBorder="1" applyAlignment="1">
      <alignment horizontal="left"/>
    </xf>
    <xf numFmtId="0" fontId="0" fillId="0" borderId="7" xfId="0" applyBorder="1"/>
    <xf numFmtId="164" fontId="4" fillId="0" borderId="7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 vertical="center"/>
    </xf>
    <xf numFmtId="0" fontId="14" fillId="0" borderId="19" xfId="3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</xf>
    <xf numFmtId="0" fontId="27" fillId="0" borderId="0" xfId="0" applyFont="1"/>
    <xf numFmtId="0" fontId="29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Fill="1" applyAlignment="1" applyProtection="1">
      <alignment horizont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/>
    <xf numFmtId="0" fontId="19" fillId="5" borderId="4" xfId="0" applyFont="1" applyFill="1" applyBorder="1" applyAlignment="1" applyProtection="1">
      <alignment horizontal="left" wrapText="1"/>
    </xf>
    <xf numFmtId="0" fontId="0" fillId="0" borderId="5" xfId="0" applyBorder="1" applyAlignment="1" applyProtection="1">
      <alignment horizontal="left" wrapText="1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19" fillId="5" borderId="4" xfId="0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0" fontId="0" fillId="0" borderId="2" xfId="0" applyBorder="1" applyAlignment="1"/>
  </cellXfs>
  <cellStyles count="4">
    <cellStyle name="Chart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D9D9D9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185"/>
  <sheetViews>
    <sheetView tabSelected="1" zoomScaleNormal="100"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8" customWidth="1"/>
    <col min="5" max="5" width="1.7109375" style="38" customWidth="1"/>
    <col min="6" max="6" width="12.42578125" style="39" customWidth="1"/>
    <col min="7" max="7" width="14.42578125" style="39" customWidth="1"/>
    <col min="8" max="8" width="16.7109375" style="39" bestFit="1" customWidth="1"/>
    <col min="9" max="16384" width="9.140625" style="6"/>
  </cols>
  <sheetData>
    <row r="1" spans="1:8" ht="18" x14ac:dyDescent="0.25">
      <c r="A1" s="298" t="s">
        <v>26</v>
      </c>
      <c r="B1" s="298"/>
      <c r="C1" s="298"/>
      <c r="D1" s="298"/>
      <c r="E1" s="298"/>
      <c r="F1" s="298"/>
      <c r="G1" s="298"/>
      <c r="H1" s="298"/>
    </row>
    <row r="2" spans="1:8" x14ac:dyDescent="0.2">
      <c r="A2" s="7"/>
      <c r="B2" s="7"/>
      <c r="C2" s="11" t="s">
        <v>24</v>
      </c>
      <c r="D2" s="43" t="s">
        <v>27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42" t="s">
        <v>154</v>
      </c>
      <c r="C4" s="42"/>
      <c r="D4" s="12"/>
      <c r="E4" s="12"/>
      <c r="F4" s="13"/>
      <c r="G4" s="14" t="s">
        <v>5</v>
      </c>
      <c r="H4" s="15">
        <f ca="1" xml:space="preserve"> TODAY()</f>
        <v>43503</v>
      </c>
    </row>
    <row r="5" spans="1:8" ht="6" customHeight="1" x14ac:dyDescent="0.2">
      <c r="A5" s="11"/>
      <c r="B5" s="16"/>
      <c r="C5" s="16"/>
      <c r="D5" s="12"/>
      <c r="E5" s="12"/>
      <c r="F5" s="13"/>
      <c r="G5" s="14"/>
      <c r="H5" s="15"/>
    </row>
    <row r="6" spans="1:8" x14ac:dyDescent="0.2">
      <c r="A6" s="11" t="s">
        <v>4</v>
      </c>
      <c r="B6" s="299" t="s">
        <v>175</v>
      </c>
      <c r="C6" s="299"/>
      <c r="D6" s="299"/>
      <c r="E6" s="299"/>
      <c r="F6" s="299"/>
      <c r="G6" s="257" t="s">
        <v>153</v>
      </c>
      <c r="H6" s="1" t="s">
        <v>6</v>
      </c>
    </row>
    <row r="7" spans="1:8" ht="6" customHeight="1" x14ac:dyDescent="0.2">
      <c r="A7" s="11"/>
      <c r="B7" s="16"/>
      <c r="C7" s="16"/>
      <c r="D7" s="16"/>
      <c r="E7" s="16"/>
      <c r="F7" s="16"/>
      <c r="G7" s="14"/>
      <c r="H7" s="17"/>
    </row>
    <row r="8" spans="1:8" x14ac:dyDescent="0.2">
      <c r="A8" s="7"/>
      <c r="B8" s="7"/>
      <c r="C8" s="7"/>
      <c r="D8" s="8"/>
      <c r="E8" s="8"/>
      <c r="F8" s="9"/>
      <c r="G8" s="14" t="s">
        <v>8</v>
      </c>
      <c r="H8" s="2" t="s">
        <v>177</v>
      </c>
    </row>
    <row r="9" spans="1:8" ht="13.5" thickBot="1" x14ac:dyDescent="0.25">
      <c r="A9" s="7"/>
      <c r="B9" s="7"/>
      <c r="C9" s="7"/>
      <c r="D9" s="8"/>
      <c r="E9" s="8"/>
      <c r="F9" s="9"/>
      <c r="G9" s="14"/>
      <c r="H9" s="13"/>
    </row>
    <row r="10" spans="1:8" ht="18.75" thickBot="1" x14ac:dyDescent="0.25">
      <c r="A10" s="300" t="s">
        <v>15</v>
      </c>
      <c r="B10" s="300"/>
      <c r="C10" s="300"/>
      <c r="D10" s="300"/>
      <c r="E10" s="300"/>
      <c r="F10" s="300"/>
      <c r="G10" s="300"/>
      <c r="H10" s="300"/>
    </row>
    <row r="11" spans="1:8" x14ac:dyDescent="0.2">
      <c r="A11" s="18" t="s">
        <v>13</v>
      </c>
      <c r="B11" s="18"/>
      <c r="C11" s="18"/>
      <c r="D11" s="18" t="s">
        <v>11</v>
      </c>
      <c r="E11" s="18"/>
      <c r="F11" s="18"/>
      <c r="G11" s="18"/>
      <c r="H11" s="18"/>
    </row>
    <row r="12" spans="1:8" ht="13.5" thickBot="1" x14ac:dyDescent="0.25">
      <c r="A12" s="19" t="s">
        <v>14</v>
      </c>
      <c r="B12" s="20" t="s">
        <v>7</v>
      </c>
      <c r="C12" s="20"/>
      <c r="D12" s="21" t="str">
        <f>IF(Units="US CUSTOMARY"," (Ton or SY)"," (tonnes or m2)")</f>
        <v xml:space="preserve"> (Ton or SY)</v>
      </c>
      <c r="E12" s="22"/>
      <c r="F12" s="21" t="s">
        <v>0</v>
      </c>
      <c r="G12" s="21" t="str">
        <f>"Q_"&amp;IF(Units="US CUSTOMARY","Ton","t")&amp;" Unit Price"</f>
        <v>Q_Ton Unit Price</v>
      </c>
      <c r="H12" s="21" t="s">
        <v>1</v>
      </c>
    </row>
    <row r="13" spans="1:8" ht="13.5" thickTop="1" x14ac:dyDescent="0.2">
      <c r="A13" s="23" t="str">
        <f>IF(FP="FP-03","301","301")</f>
        <v>301</v>
      </c>
      <c r="B13" s="24" t="str">
        <f>IF(FP="FP-03","Untreated Aggregate Courses","Untreated Aggregate Courses")</f>
        <v>Untreated Aggregate Courses</v>
      </c>
      <c r="C13" s="24"/>
      <c r="D13" s="3"/>
      <c r="E13" s="247"/>
      <c r="F13" s="4"/>
      <c r="G13" s="26" t="str">
        <f>IF(ISNUMBER(F13),ROUND(F13*0.05,2),"-")</f>
        <v>-</v>
      </c>
      <c r="H13" s="26" t="str">
        <f>IF(AND(ISNUMBER(D13),ISNUMBER(F13)),D13*G13,"-")</f>
        <v>-</v>
      </c>
    </row>
    <row r="14" spans="1:8" ht="6" customHeight="1" x14ac:dyDescent="0.2">
      <c r="A14" s="23"/>
      <c r="B14" s="24"/>
      <c r="C14" s="24"/>
      <c r="D14" s="247"/>
      <c r="E14" s="247"/>
      <c r="F14" s="248"/>
      <c r="G14" s="26"/>
      <c r="H14" s="26"/>
    </row>
    <row r="15" spans="1:8" x14ac:dyDescent="0.2">
      <c r="A15" s="23" t="str">
        <f>IF(FP="FP-03","302","309")</f>
        <v>309</v>
      </c>
      <c r="B15" s="24" t="str">
        <f>IF(FP="FP-03","Treated Aggregate Courses","Emulsified Asphalt-Treated Base Course")</f>
        <v>Emulsified Asphalt-Treated Base Course</v>
      </c>
      <c r="C15" s="24"/>
      <c r="D15" s="3"/>
      <c r="E15" s="247"/>
      <c r="F15" s="4"/>
      <c r="G15" s="26" t="str">
        <f>IF(ISNUMBER(F15),ROUND(F15*0.05,2),"-")</f>
        <v>-</v>
      </c>
      <c r="H15" s="26" t="str">
        <f>IF(AND(ISNUMBER(D15),ISNUMBER(F15)),D15*G15,"-")</f>
        <v>-</v>
      </c>
    </row>
    <row r="16" spans="1:8" ht="6" customHeight="1" x14ac:dyDescent="0.2">
      <c r="A16" s="23"/>
      <c r="B16" s="24"/>
      <c r="C16" s="24"/>
      <c r="D16" s="247"/>
      <c r="E16" s="247"/>
      <c r="F16" s="248"/>
      <c r="G16" s="26"/>
      <c r="H16" s="26"/>
    </row>
    <row r="17" spans="1:11" x14ac:dyDescent="0.2">
      <c r="A17" s="23" t="str">
        <f>IF(FP="FP-03","304","311")</f>
        <v>311</v>
      </c>
      <c r="B17" s="24" t="str">
        <f>IF(FP="FP-03","Aggregate Stabiliation","Stabilized Aggregate Surface Course")</f>
        <v>Stabilized Aggregate Surface Course</v>
      </c>
      <c r="C17" s="24"/>
      <c r="D17" s="3"/>
      <c r="E17" s="247"/>
      <c r="F17" s="4"/>
      <c r="G17" s="26" t="str">
        <f t="shared" ref="G17:G23" si="0">IF(ISNUMBER(F17),ROUND(F17*0.05,2),"-")</f>
        <v>-</v>
      </c>
      <c r="H17" s="26" t="str">
        <f>IF(AND(ISNUMBER(D17),ISNUMBER(F17)),D17*G17,"-")</f>
        <v>-</v>
      </c>
    </row>
    <row r="18" spans="1:11" ht="6" customHeight="1" x14ac:dyDescent="0.2">
      <c r="A18" s="23"/>
      <c r="B18" s="24"/>
      <c r="C18" s="24"/>
      <c r="D18" s="247"/>
      <c r="E18" s="247"/>
      <c r="F18" s="248"/>
      <c r="G18" s="26"/>
      <c r="H18" s="26"/>
    </row>
    <row r="19" spans="1:11" x14ac:dyDescent="0.2">
      <c r="A19" s="23" t="str">
        <f>IF(FP="FP-03","309","405")</f>
        <v>405</v>
      </c>
      <c r="B19" s="24" t="str">
        <f>IF(FP="FP-03","Emulsified ATB Course","Open-Graded Asphalt Friction Course")</f>
        <v>Open-Graded Asphalt Friction Course</v>
      </c>
      <c r="C19" s="24"/>
      <c r="D19" s="3"/>
      <c r="E19" s="247"/>
      <c r="F19" s="4"/>
      <c r="G19" s="26" t="str">
        <f t="shared" si="0"/>
        <v>-</v>
      </c>
      <c r="H19" s="26" t="str">
        <f>IF(AND(ISNUMBER(D19),ISNUMBER(F19)),D19*G19,"-")</f>
        <v>-</v>
      </c>
    </row>
    <row r="20" spans="1:11" ht="6" customHeight="1" x14ac:dyDescent="0.2">
      <c r="A20" s="23"/>
      <c r="B20" s="24"/>
      <c r="C20" s="24"/>
      <c r="D20" s="247"/>
      <c r="E20" s="247"/>
      <c r="F20" s="248"/>
      <c r="G20" s="26"/>
      <c r="H20" s="26"/>
    </row>
    <row r="21" spans="1:11" x14ac:dyDescent="0.2">
      <c r="A21" s="23" t="str">
        <f>IF(FP="FP-03","405","407")</f>
        <v>407</v>
      </c>
      <c r="B21" s="24" t="str">
        <f>IF(FP="FP-03","Open-Graded Asphalt Friction Course","Chip Seal")</f>
        <v>Chip Seal</v>
      </c>
      <c r="C21" s="24"/>
      <c r="D21" s="3"/>
      <c r="E21" s="247"/>
      <c r="F21" s="4"/>
      <c r="G21" s="26" t="str">
        <f t="shared" si="0"/>
        <v>-</v>
      </c>
      <c r="H21" s="26" t="str">
        <f>IF(AND(ISNUMBER(D21),ISNUMBER(F21)),D21*G21,"-")</f>
        <v>-</v>
      </c>
    </row>
    <row r="22" spans="1:11" ht="6" customHeight="1" x14ac:dyDescent="0.2">
      <c r="A22" s="23"/>
      <c r="B22" s="24"/>
      <c r="C22" s="24"/>
      <c r="D22" s="247"/>
      <c r="E22" s="247"/>
      <c r="F22" s="248"/>
      <c r="G22" s="26"/>
      <c r="H22" s="26"/>
    </row>
    <row r="23" spans="1:11" x14ac:dyDescent="0.2">
      <c r="A23" s="23" t="str">
        <f>IF(FP="FP-03","409","-")</f>
        <v>-</v>
      </c>
      <c r="B23" s="24" t="str">
        <f>IF(FP="FP-03","Asphalt Surface Treatment","                         -")</f>
        <v xml:space="preserve">                         -</v>
      </c>
      <c r="C23" s="24"/>
      <c r="D23" s="3"/>
      <c r="E23" s="247"/>
      <c r="F23" s="4"/>
      <c r="G23" s="26" t="str">
        <f t="shared" si="0"/>
        <v>-</v>
      </c>
      <c r="H23" s="26" t="str">
        <f>IF(AND(ISNUMBER(D23),ISNUMBER(F23)),D23*G23,"-")</f>
        <v>-</v>
      </c>
    </row>
    <row r="24" spans="1:11" ht="6" customHeight="1" x14ac:dyDescent="0.2">
      <c r="A24" s="23"/>
      <c r="B24" s="24"/>
      <c r="C24" s="24"/>
      <c r="D24" s="247"/>
      <c r="E24" s="247"/>
      <c r="F24" s="248"/>
      <c r="G24" s="26"/>
      <c r="H24" s="26"/>
    </row>
    <row r="25" spans="1:11" x14ac:dyDescent="0.2">
      <c r="A25" s="23"/>
      <c r="B25" s="24"/>
      <c r="C25" s="24"/>
      <c r="D25" s="247"/>
      <c r="E25" s="247"/>
      <c r="F25" s="248"/>
      <c r="G25" s="26"/>
      <c r="H25" s="26"/>
    </row>
    <row r="26" spans="1:11" ht="6" customHeight="1" x14ac:dyDescent="0.2">
      <c r="A26" s="23"/>
      <c r="B26" s="24"/>
      <c r="C26" s="24"/>
      <c r="D26" s="247"/>
      <c r="E26" s="247"/>
      <c r="F26" s="248"/>
      <c r="G26" s="26"/>
      <c r="H26" s="26"/>
    </row>
    <row r="27" spans="1:11" x14ac:dyDescent="0.2">
      <c r="A27" s="23"/>
      <c r="B27" s="24"/>
      <c r="C27" s="24"/>
      <c r="D27" s="247"/>
      <c r="E27" s="247"/>
      <c r="F27" s="248"/>
      <c r="G27" s="26"/>
      <c r="H27" s="26"/>
    </row>
    <row r="28" spans="1:11" x14ac:dyDescent="0.2">
      <c r="A28" s="23"/>
      <c r="B28" s="24"/>
      <c r="C28" s="24"/>
      <c r="D28" s="25"/>
      <c r="E28" s="25"/>
      <c r="F28" s="27"/>
      <c r="G28" s="26"/>
      <c r="H28" s="26"/>
    </row>
    <row r="29" spans="1:11" ht="13.5" thickBot="1" x14ac:dyDescent="0.25">
      <c r="A29" s="7"/>
      <c r="B29" s="7"/>
      <c r="C29" s="7"/>
      <c r="D29" s="8"/>
      <c r="E29" s="8"/>
      <c r="F29" s="9"/>
      <c r="G29" s="9"/>
      <c r="H29" s="9"/>
    </row>
    <row r="30" spans="1:11" ht="18.75" thickBot="1" x14ac:dyDescent="0.25">
      <c r="A30" s="300" t="s">
        <v>16</v>
      </c>
      <c r="B30" s="300"/>
      <c r="C30" s="300"/>
      <c r="D30" s="300"/>
      <c r="E30" s="300"/>
      <c r="F30" s="300"/>
      <c r="G30" s="300"/>
      <c r="H30" s="300"/>
      <c r="K30" s="28"/>
    </row>
    <row r="31" spans="1:11" x14ac:dyDescent="0.2">
      <c r="A31" s="29" t="s">
        <v>13</v>
      </c>
      <c r="B31" s="29"/>
      <c r="C31" s="18"/>
      <c r="D31" s="18" t="s">
        <v>11</v>
      </c>
      <c r="E31" s="29"/>
      <c r="F31" s="29"/>
      <c r="G31" s="29"/>
      <c r="H31" s="29"/>
      <c r="K31" s="28"/>
    </row>
    <row r="32" spans="1:11" ht="13.5" thickBot="1" x14ac:dyDescent="0.25">
      <c r="A32" s="19" t="s">
        <v>14</v>
      </c>
      <c r="B32" s="20" t="s">
        <v>7</v>
      </c>
      <c r="C32" s="20"/>
      <c r="D32" s="21" t="str">
        <f>IF(Units="US CUSTOMARY"," (Ton or SY)"," (tonnes or m2)")</f>
        <v xml:space="preserve"> (Ton or SY)</v>
      </c>
      <c r="E32" s="22"/>
      <c r="F32" s="21" t="s">
        <v>0</v>
      </c>
      <c r="G32" s="21" t="str">
        <f>"Q_"&amp;IF(Units="US CUSTOMARY","Ton","t")&amp;" Unit Price"</f>
        <v>Q_Ton Unit Price</v>
      </c>
      <c r="H32" s="21" t="s">
        <v>1</v>
      </c>
    </row>
    <row r="33" spans="1:8" ht="13.5" thickTop="1" x14ac:dyDescent="0.2">
      <c r="A33" s="23">
        <v>401</v>
      </c>
      <c r="B33" s="24" t="s">
        <v>2</v>
      </c>
      <c r="C33" s="24"/>
      <c r="D33" s="3"/>
      <c r="E33" s="247"/>
      <c r="F33" s="4"/>
      <c r="G33" s="26" t="str">
        <f>IF(ISNUMBER(F33),ROUND(F33*0.06,2),"-")</f>
        <v>-</v>
      </c>
      <c r="H33" s="26" t="str">
        <f>IF(AND(ISNUMBER(D33),ISNUMBER(F33)),D33*G33,"-")</f>
        <v>-</v>
      </c>
    </row>
    <row r="34" spans="1:8" ht="6" customHeight="1" x14ac:dyDescent="0.2">
      <c r="A34" s="23"/>
      <c r="B34" s="24"/>
      <c r="C34" s="24"/>
      <c r="D34" s="247"/>
      <c r="E34" s="247"/>
      <c r="F34" s="248"/>
      <c r="G34" s="26"/>
      <c r="H34" s="26"/>
    </row>
    <row r="35" spans="1:8" x14ac:dyDescent="0.2">
      <c r="A35" s="23">
        <v>402</v>
      </c>
      <c r="B35" s="24" t="str">
        <f>IF(FP="FP-03","Hot ACP By Hveem or Marshall Mix Design","ACP By Hveem or Marshall Mix Design")</f>
        <v>ACP By Hveem or Marshall Mix Design</v>
      </c>
      <c r="C35" s="24"/>
      <c r="D35" s="3"/>
      <c r="E35" s="247"/>
      <c r="F35" s="4"/>
      <c r="G35" s="26" t="str">
        <f>IF(ISNUMBER(F35),ROUND(F35*0.06,2),"-")</f>
        <v>-</v>
      </c>
      <c r="H35" s="26" t="str">
        <f>IF(AND(ISNUMBER(D35),ISNUMBER(F35)),D35*G35,"-")</f>
        <v>-</v>
      </c>
    </row>
    <row r="36" spans="1:8" x14ac:dyDescent="0.2">
      <c r="A36" s="23"/>
      <c r="B36" s="24"/>
      <c r="C36" s="24"/>
      <c r="D36" s="25"/>
      <c r="E36" s="25"/>
      <c r="F36" s="27"/>
      <c r="G36" s="26"/>
      <c r="H36" s="26"/>
    </row>
    <row r="37" spans="1:8" x14ac:dyDescent="0.2">
      <c r="A37" s="7"/>
      <c r="B37" s="7"/>
      <c r="C37" s="7"/>
      <c r="D37" s="8"/>
      <c r="E37" s="8"/>
      <c r="F37" s="9"/>
      <c r="G37" s="9"/>
      <c r="H37" s="9"/>
    </row>
    <row r="38" spans="1:8" s="31" customFormat="1" x14ac:dyDescent="0.2">
      <c r="A38" s="302" t="s">
        <v>9</v>
      </c>
      <c r="B38" s="302"/>
      <c r="C38" s="302"/>
      <c r="D38" s="302"/>
      <c r="E38" s="302"/>
      <c r="F38" s="302"/>
      <c r="G38" s="302"/>
      <c r="H38" s="30">
        <f>SUM(H13,H15,H17,H19,H21,H23,H25,H27,H33,H35)</f>
        <v>0</v>
      </c>
    </row>
    <row r="39" spans="1:8" x14ac:dyDescent="0.2">
      <c r="A39" s="32"/>
      <c r="B39" s="32"/>
      <c r="C39" s="32"/>
      <c r="D39" s="32"/>
      <c r="E39" s="32"/>
      <c r="F39" s="32"/>
      <c r="G39" s="32"/>
      <c r="H39" s="33"/>
    </row>
    <row r="40" spans="1:8" x14ac:dyDescent="0.2">
      <c r="A40" s="32"/>
      <c r="B40" s="32"/>
      <c r="C40" s="32"/>
      <c r="D40" s="32"/>
      <c r="E40" s="32"/>
      <c r="F40" s="32"/>
      <c r="G40" s="32"/>
      <c r="H40" s="33"/>
    </row>
    <row r="41" spans="1:8" x14ac:dyDescent="0.2">
      <c r="A41" s="32"/>
      <c r="B41" s="32"/>
      <c r="C41" s="32"/>
      <c r="D41" s="32"/>
      <c r="E41" s="32"/>
      <c r="F41" s="32"/>
      <c r="G41" s="32"/>
      <c r="H41" s="33"/>
    </row>
    <row r="42" spans="1:8" ht="13.5" thickBot="1" x14ac:dyDescent="0.25">
      <c r="A42" s="7"/>
      <c r="B42" s="7"/>
      <c r="C42" s="7"/>
      <c r="D42" s="8"/>
      <c r="E42" s="8"/>
      <c r="F42" s="9"/>
      <c r="G42" s="9"/>
      <c r="H42" s="9"/>
    </row>
    <row r="43" spans="1:8" ht="18.75" thickBot="1" x14ac:dyDescent="0.25">
      <c r="A43" s="301" t="s">
        <v>17</v>
      </c>
      <c r="B43" s="301"/>
      <c r="C43" s="301"/>
      <c r="D43" s="301"/>
      <c r="E43" s="301"/>
      <c r="F43" s="301"/>
      <c r="G43" s="301"/>
      <c r="H43" s="301"/>
    </row>
    <row r="44" spans="1:8" x14ac:dyDescent="0.2">
      <c r="A44" s="29" t="s">
        <v>13</v>
      </c>
      <c r="B44" s="29"/>
      <c r="C44" s="29"/>
      <c r="D44" s="29" t="s">
        <v>12</v>
      </c>
      <c r="E44" s="29"/>
      <c r="F44" s="29"/>
      <c r="G44" s="29"/>
      <c r="H44" s="29"/>
    </row>
    <row r="45" spans="1:8" ht="13.5" thickBot="1" x14ac:dyDescent="0.25">
      <c r="A45" s="19" t="s">
        <v>14</v>
      </c>
      <c r="B45" s="20" t="s">
        <v>7</v>
      </c>
      <c r="C45" s="20"/>
      <c r="D45" s="22" t="str">
        <f>"Lane-"&amp;IF(Units="US CUSTOMARY","miles","kilometers")</f>
        <v>Lane-miles</v>
      </c>
      <c r="E45" s="22"/>
      <c r="F45" s="21"/>
      <c r="G45" s="21"/>
      <c r="H45" s="21" t="s">
        <v>1</v>
      </c>
    </row>
    <row r="46" spans="1:8" ht="13.5" thickTop="1" x14ac:dyDescent="0.2">
      <c r="A46" s="23">
        <v>401</v>
      </c>
      <c r="B46" s="7" t="s">
        <v>2</v>
      </c>
      <c r="C46" s="7"/>
      <c r="D46" s="5"/>
      <c r="E46" s="34"/>
      <c r="F46" s="26"/>
      <c r="G46" s="26"/>
      <c r="H46" s="26" t="str">
        <f>IF(ISNUMBER(D46),(IF(Units="US CUSTOMARY",80000,49600)*(1.05-1)*D46),"-")</f>
        <v>-</v>
      </c>
    </row>
    <row r="47" spans="1:8" ht="6" customHeight="1" x14ac:dyDescent="0.2">
      <c r="A47" s="23"/>
      <c r="B47" s="7"/>
      <c r="C47" s="7"/>
      <c r="D47" s="249"/>
      <c r="E47" s="34"/>
      <c r="F47" s="26"/>
      <c r="G47" s="26"/>
      <c r="H47" s="26"/>
    </row>
    <row r="48" spans="1:8" x14ac:dyDescent="0.2">
      <c r="A48" s="23">
        <v>402</v>
      </c>
      <c r="B48" s="7" t="str">
        <f>IF(FP="FP-03","Hot ACP By Hveem or Marshall Mix Design","ACP By Hveem or Marshall Mix Design")</f>
        <v>ACP By Hveem or Marshall Mix Design</v>
      </c>
      <c r="C48" s="7"/>
      <c r="D48" s="5"/>
      <c r="E48" s="34"/>
      <c r="F48" s="26"/>
      <c r="G48" s="26"/>
      <c r="H48" s="26" t="str">
        <f>IF(ISNUMBER(D48),(IF(Units="US CUSTOMARY",80000,49600)*(1.05-1)*D48),"-")</f>
        <v>-</v>
      </c>
    </row>
    <row r="49" spans="1:8" x14ac:dyDescent="0.2">
      <c r="A49" s="23"/>
      <c r="B49" s="7"/>
      <c r="C49" s="7"/>
      <c r="D49" s="34"/>
      <c r="E49" s="34"/>
      <c r="F49" s="26"/>
      <c r="G49" s="26"/>
      <c r="H49" s="26"/>
    </row>
    <row r="50" spans="1:8" x14ac:dyDescent="0.2">
      <c r="A50" s="7"/>
      <c r="B50" s="7"/>
      <c r="C50" s="7"/>
      <c r="D50" s="8"/>
      <c r="E50" s="8"/>
      <c r="F50" s="9"/>
      <c r="G50" s="9"/>
      <c r="H50" s="9"/>
    </row>
    <row r="51" spans="1:8" x14ac:dyDescent="0.2">
      <c r="A51" s="302" t="s">
        <v>10</v>
      </c>
      <c r="B51" s="302"/>
      <c r="C51" s="302"/>
      <c r="D51" s="302"/>
      <c r="E51" s="302"/>
      <c r="F51" s="302"/>
      <c r="G51" s="302"/>
      <c r="H51" s="35">
        <f>SUM(H46,H48)</f>
        <v>0</v>
      </c>
    </row>
    <row r="52" spans="1:8" x14ac:dyDescent="0.2">
      <c r="A52" s="7"/>
      <c r="B52" s="7"/>
      <c r="C52" s="7"/>
      <c r="D52" s="8"/>
      <c r="E52" s="8"/>
      <c r="F52" s="9"/>
      <c r="G52" s="36"/>
      <c r="H52" s="37"/>
    </row>
    <row r="53" spans="1:8" x14ac:dyDescent="0.2">
      <c r="A53" s="7"/>
      <c r="B53" s="7"/>
      <c r="C53" s="7"/>
      <c r="D53" s="8"/>
      <c r="E53" s="8"/>
      <c r="F53" s="9"/>
      <c r="G53" s="36"/>
      <c r="H53" s="37"/>
    </row>
    <row r="54" spans="1:8" x14ac:dyDescent="0.2">
      <c r="A54" s="7"/>
      <c r="B54" s="7"/>
      <c r="C54" s="7"/>
      <c r="D54" s="8"/>
      <c r="E54" s="8"/>
      <c r="F54" s="9"/>
      <c r="G54" s="36"/>
      <c r="H54" s="37"/>
    </row>
    <row r="55" spans="1:8" x14ac:dyDescent="0.2">
      <c r="A55" s="7"/>
      <c r="B55" s="7"/>
      <c r="C55" s="7"/>
      <c r="D55" s="8"/>
      <c r="E55" s="8"/>
      <c r="F55" s="9"/>
      <c r="G55" s="36"/>
      <c r="H55" s="37"/>
    </row>
    <row r="56" spans="1:8" x14ac:dyDescent="0.2">
      <c r="A56" s="7"/>
      <c r="B56" s="7"/>
      <c r="C56" s="7"/>
      <c r="D56" s="8"/>
      <c r="E56" s="8"/>
      <c r="F56" s="9"/>
      <c r="G56" s="36"/>
      <c r="H56" s="37"/>
    </row>
    <row r="57" spans="1:8" x14ac:dyDescent="0.2">
      <c r="A57" s="7"/>
      <c r="B57" s="7"/>
      <c r="C57" s="7"/>
      <c r="D57" s="8"/>
      <c r="E57" s="8"/>
      <c r="F57" s="9"/>
      <c r="G57" s="36"/>
      <c r="H57" s="37"/>
    </row>
    <row r="58" spans="1:8" x14ac:dyDescent="0.2">
      <c r="A58" s="7"/>
      <c r="B58" s="7"/>
      <c r="C58" s="7"/>
      <c r="D58" s="8"/>
      <c r="E58" s="8"/>
      <c r="F58" s="9"/>
      <c r="G58" s="9"/>
      <c r="H58" s="9"/>
    </row>
    <row r="59" spans="1:8" x14ac:dyDescent="0.2">
      <c r="A59" s="7"/>
      <c r="B59" s="7"/>
      <c r="C59" s="7"/>
      <c r="D59" s="8"/>
      <c r="E59" s="8"/>
      <c r="F59" s="9"/>
      <c r="G59" s="9"/>
      <c r="H59" s="9"/>
    </row>
    <row r="60" spans="1:8" x14ac:dyDescent="0.2">
      <c r="A60" s="40" t="s">
        <v>18</v>
      </c>
      <c r="B60" s="41" t="s">
        <v>19</v>
      </c>
      <c r="C60" s="41"/>
      <c r="D60" s="8"/>
      <c r="E60" s="8"/>
      <c r="F60" s="9"/>
      <c r="G60" s="9"/>
      <c r="H60" s="9"/>
    </row>
    <row r="61" spans="1:8" x14ac:dyDescent="0.2">
      <c r="A61" s="41"/>
      <c r="B61" s="41" t="s">
        <v>20</v>
      </c>
      <c r="C61" s="41"/>
      <c r="D61" s="8"/>
      <c r="E61" s="8"/>
      <c r="F61" s="9"/>
      <c r="G61" s="9"/>
      <c r="H61" s="9"/>
    </row>
    <row r="62" spans="1:8" x14ac:dyDescent="0.2">
      <c r="A62" s="41"/>
      <c r="B62" s="41"/>
      <c r="C62" s="41"/>
      <c r="D62" s="8"/>
      <c r="E62" s="8"/>
      <c r="F62" s="9"/>
      <c r="G62" s="9"/>
      <c r="H62" s="9"/>
    </row>
    <row r="63" spans="1:8" x14ac:dyDescent="0.2">
      <c r="A63" s="40" t="s">
        <v>21</v>
      </c>
      <c r="B63" s="41" t="s">
        <v>22</v>
      </c>
      <c r="C63" s="41"/>
      <c r="D63" s="8"/>
      <c r="E63" s="8"/>
      <c r="F63" s="9"/>
      <c r="G63" s="9"/>
      <c r="H63" s="9"/>
    </row>
    <row r="64" spans="1:8" x14ac:dyDescent="0.2">
      <c r="A64" s="41"/>
      <c r="B64" s="41" t="s">
        <v>20</v>
      </c>
      <c r="C64" s="41"/>
      <c r="D64" s="8"/>
      <c r="E64" s="8"/>
      <c r="F64" s="9"/>
      <c r="G64" s="9"/>
      <c r="H64" s="9"/>
    </row>
    <row r="65" spans="1:8" x14ac:dyDescent="0.2">
      <c r="A65" s="41"/>
      <c r="B65" s="41"/>
      <c r="C65" s="41"/>
      <c r="D65" s="8"/>
      <c r="E65" s="8"/>
      <c r="F65" s="9"/>
      <c r="G65" s="9"/>
      <c r="H65" s="9"/>
    </row>
    <row r="66" spans="1:8" x14ac:dyDescent="0.2">
      <c r="A66" s="40" t="s">
        <v>23</v>
      </c>
      <c r="B66" s="41" t="str">
        <f>"Incentive Amt = (Lane-"&amp;IF(Units="US CUSTOMARY","miles","kilometers")&amp;" x "&amp;IF(Units="US CUSTOMARY","80,000 x 0.05)","49,600 x 0.05)")</f>
        <v>Incentive Amt = (Lane-miles x 80,000 x 0.05)</v>
      </c>
      <c r="C66" s="41"/>
      <c r="D66" s="8"/>
      <c r="E66" s="8"/>
      <c r="F66" s="9"/>
      <c r="G66" s="9"/>
      <c r="H66" s="9"/>
    </row>
    <row r="67" spans="1:8" ht="18" x14ac:dyDescent="0.25">
      <c r="A67" s="298" t="s">
        <v>28</v>
      </c>
      <c r="B67" s="298"/>
      <c r="C67" s="298"/>
      <c r="D67" s="298"/>
      <c r="E67" s="298"/>
      <c r="F67" s="298"/>
      <c r="G67" s="298"/>
      <c r="H67" s="298"/>
    </row>
    <row r="68" spans="1:8" x14ac:dyDescent="0.2">
      <c r="A68" s="7"/>
      <c r="B68" s="7"/>
      <c r="C68" s="11" t="s">
        <v>24</v>
      </c>
      <c r="D68" s="12" t="str">
        <f>IF(FP="FP-03","FP-03","FP-14")</f>
        <v>FP-14</v>
      </c>
      <c r="E68" s="8"/>
      <c r="F68" s="9"/>
      <c r="G68" s="9"/>
      <c r="H68" s="9"/>
    </row>
    <row r="69" spans="1:8" x14ac:dyDescent="0.2">
      <c r="A69" s="7"/>
      <c r="B69" s="7"/>
      <c r="C69" s="7"/>
      <c r="D69" s="10"/>
      <c r="E69" s="8"/>
      <c r="F69" s="9"/>
      <c r="G69" s="9"/>
      <c r="H69" s="9"/>
    </row>
    <row r="70" spans="1:8" x14ac:dyDescent="0.2">
      <c r="A70" s="11" t="s">
        <v>3</v>
      </c>
      <c r="B70" s="153" t="str">
        <f>+B4</f>
        <v>Enter Project Number</v>
      </c>
      <c r="C70" s="153"/>
      <c r="D70" s="12"/>
      <c r="E70" s="12"/>
      <c r="F70" s="13"/>
      <c r="G70" s="14" t="s">
        <v>5</v>
      </c>
      <c r="H70" s="15">
        <f ca="1" xml:space="preserve"> TODAY()</f>
        <v>43503</v>
      </c>
    </row>
    <row r="71" spans="1:8" ht="4.5" customHeight="1" x14ac:dyDescent="0.2">
      <c r="A71" s="11"/>
      <c r="B71" s="153"/>
      <c r="C71" s="153"/>
      <c r="D71" s="12"/>
      <c r="E71" s="12"/>
      <c r="F71" s="13"/>
      <c r="G71" s="14"/>
      <c r="H71" s="15"/>
    </row>
    <row r="72" spans="1:8" x14ac:dyDescent="0.2">
      <c r="A72" s="11" t="s">
        <v>4</v>
      </c>
      <c r="B72" s="303" t="str">
        <f>+B6</f>
        <v>Enter Project name</v>
      </c>
      <c r="C72" s="303"/>
      <c r="D72" s="303"/>
      <c r="E72" s="303"/>
      <c r="F72" s="303"/>
      <c r="G72" s="14" t="str">
        <f>+G6</f>
        <v xml:space="preserve">Schedule: </v>
      </c>
      <c r="H72" s="17" t="str">
        <f>+H6</f>
        <v>A</v>
      </c>
    </row>
    <row r="73" spans="1:8" x14ac:dyDescent="0.2">
      <c r="A73" s="7"/>
      <c r="B73" s="7"/>
      <c r="C73" s="7"/>
      <c r="D73" s="8"/>
      <c r="E73" s="8"/>
      <c r="F73" s="9"/>
      <c r="G73" s="14" t="s">
        <v>8</v>
      </c>
      <c r="H73" s="13" t="str">
        <f>+Units</f>
        <v>US CUSTOMARY</v>
      </c>
    </row>
    <row r="74" spans="1:8" ht="6.75" customHeight="1" thickBot="1" x14ac:dyDescent="0.25">
      <c r="A74" s="7"/>
      <c r="B74" s="7"/>
      <c r="C74" s="7"/>
      <c r="D74" s="8"/>
      <c r="E74" s="8"/>
      <c r="F74" s="9"/>
      <c r="G74" s="14"/>
      <c r="H74" s="13"/>
    </row>
    <row r="75" spans="1:8" ht="19.5" customHeight="1" thickBot="1" x14ac:dyDescent="0.25">
      <c r="A75" s="231" t="s">
        <v>33</v>
      </c>
      <c r="B75" s="232"/>
      <c r="C75" s="232"/>
      <c r="D75" s="232"/>
      <c r="E75" s="232"/>
      <c r="F75" s="232"/>
      <c r="G75" s="232"/>
      <c r="H75" s="233"/>
    </row>
    <row r="76" spans="1:8" ht="5.25" customHeight="1" x14ac:dyDescent="0.2">
      <c r="A76" s="18"/>
      <c r="B76" s="44"/>
      <c r="C76" s="44"/>
      <c r="D76" s="45"/>
      <c r="E76" s="46"/>
      <c r="F76" s="45"/>
      <c r="G76" s="45"/>
      <c r="H76" s="45"/>
    </row>
    <row r="77" spans="1:8" x14ac:dyDescent="0.2">
      <c r="A77" s="57" t="s">
        <v>29</v>
      </c>
      <c r="B77" s="58"/>
      <c r="C77" s="59" t="s">
        <v>89</v>
      </c>
      <c r="D77" s="60" t="str">
        <f>IF(Units="US CUSTOMARY"," CUYD"," m3")</f>
        <v xml:space="preserve"> CUYD</v>
      </c>
      <c r="E77" s="61"/>
      <c r="F77" s="62" t="s">
        <v>32</v>
      </c>
      <c r="G77" s="45"/>
      <c r="H77" s="45"/>
    </row>
    <row r="78" spans="1:8" x14ac:dyDescent="0.2">
      <c r="A78" s="189">
        <v>20401</v>
      </c>
      <c r="B78" s="190" t="s">
        <v>30</v>
      </c>
      <c r="C78" s="308">
        <f>IF(Units="US Customary", 0.3, 0.39)</f>
        <v>0.3</v>
      </c>
      <c r="D78" s="192"/>
      <c r="E78" s="193"/>
      <c r="F78" s="210" t="str">
        <f>IF(ISNUMBER(D78),+C$78*D78, "-")</f>
        <v>-</v>
      </c>
      <c r="G78" s="26"/>
      <c r="H78" s="26"/>
    </row>
    <row r="79" spans="1:8" x14ac:dyDescent="0.2">
      <c r="A79" s="189">
        <v>20402</v>
      </c>
      <c r="B79" s="190" t="s">
        <v>35</v>
      </c>
      <c r="C79" s="309"/>
      <c r="D79" s="192"/>
      <c r="E79" s="193"/>
      <c r="F79" s="210" t="str">
        <f t="shared" ref="F79:F87" si="1">IF(ISNUMBER(D79),+C$78*D79, "-")</f>
        <v>-</v>
      </c>
      <c r="G79" s="26"/>
      <c r="H79" s="26"/>
    </row>
    <row r="80" spans="1:8" x14ac:dyDescent="0.2">
      <c r="A80" s="189">
        <v>20403</v>
      </c>
      <c r="B80" s="190" t="s">
        <v>31</v>
      </c>
      <c r="C80" s="309"/>
      <c r="D80" s="192"/>
      <c r="E80" s="193"/>
      <c r="F80" s="210" t="str">
        <f t="shared" si="1"/>
        <v>-</v>
      </c>
      <c r="G80" s="26"/>
      <c r="H80" s="26"/>
    </row>
    <row r="81" spans="1:8" x14ac:dyDescent="0.2">
      <c r="A81" s="189">
        <v>20404</v>
      </c>
      <c r="B81" s="191" t="s">
        <v>38</v>
      </c>
      <c r="C81" s="309"/>
      <c r="D81" s="192"/>
      <c r="E81" s="193"/>
      <c r="F81" s="210" t="str">
        <f t="shared" si="1"/>
        <v>-</v>
      </c>
      <c r="G81" s="26"/>
      <c r="H81" s="26"/>
    </row>
    <row r="82" spans="1:8" x14ac:dyDescent="0.2">
      <c r="A82" s="189">
        <v>20410</v>
      </c>
      <c r="B82" s="191" t="s">
        <v>34</v>
      </c>
      <c r="C82" s="309"/>
      <c r="D82" s="192"/>
      <c r="E82" s="193"/>
      <c r="F82" s="210" t="str">
        <f t="shared" si="1"/>
        <v>-</v>
      </c>
      <c r="G82" s="26"/>
      <c r="H82" s="26"/>
    </row>
    <row r="83" spans="1:8" x14ac:dyDescent="0.2">
      <c r="A83" s="189">
        <v>20411</v>
      </c>
      <c r="B83" s="191" t="s">
        <v>39</v>
      </c>
      <c r="C83" s="309"/>
      <c r="D83" s="192"/>
      <c r="E83" s="193"/>
      <c r="F83" s="210" t="str">
        <f t="shared" si="1"/>
        <v>-</v>
      </c>
      <c r="G83" s="26"/>
      <c r="H83" s="26"/>
    </row>
    <row r="84" spans="1:8" x14ac:dyDescent="0.2">
      <c r="A84" s="189">
        <v>20415</v>
      </c>
      <c r="B84" s="191" t="s">
        <v>36</v>
      </c>
      <c r="C84" s="309"/>
      <c r="D84" s="192"/>
      <c r="E84" s="193"/>
      <c r="F84" s="210" t="str">
        <f t="shared" si="1"/>
        <v>-</v>
      </c>
      <c r="G84" s="26"/>
      <c r="H84" s="26"/>
    </row>
    <row r="85" spans="1:8" x14ac:dyDescent="0.2">
      <c r="A85" s="189">
        <v>20416</v>
      </c>
      <c r="B85" s="191" t="s">
        <v>40</v>
      </c>
      <c r="C85" s="309"/>
      <c r="D85" s="192"/>
      <c r="E85" s="193"/>
      <c r="F85" s="210" t="str">
        <f t="shared" si="1"/>
        <v>-</v>
      </c>
      <c r="G85" s="26"/>
      <c r="H85" s="26"/>
    </row>
    <row r="86" spans="1:8" x14ac:dyDescent="0.2">
      <c r="A86" s="189">
        <v>20420</v>
      </c>
      <c r="B86" s="191" t="s">
        <v>136</v>
      </c>
      <c r="C86" s="309"/>
      <c r="D86" s="192"/>
      <c r="E86" s="193"/>
      <c r="F86" s="210" t="str">
        <f t="shared" si="1"/>
        <v>-</v>
      </c>
      <c r="G86" s="26"/>
      <c r="H86" s="26"/>
    </row>
    <row r="87" spans="1:8" x14ac:dyDescent="0.2">
      <c r="A87" s="189">
        <v>20421</v>
      </c>
      <c r="B87" s="191" t="s">
        <v>37</v>
      </c>
      <c r="C87" s="309"/>
      <c r="D87" s="192"/>
      <c r="E87" s="193"/>
      <c r="F87" s="210" t="str">
        <f t="shared" si="1"/>
        <v>-</v>
      </c>
      <c r="G87" s="26"/>
      <c r="H87" s="26"/>
    </row>
    <row r="88" spans="1:8" x14ac:dyDescent="0.2">
      <c r="A88" s="63" t="s">
        <v>45</v>
      </c>
      <c r="B88" s="64"/>
      <c r="C88" s="59" t="s">
        <v>89</v>
      </c>
      <c r="D88" s="60" t="str">
        <f>IF(Units="US CUSTOMARY"," Tons"," tonnes")</f>
        <v xml:space="preserve"> Tons</v>
      </c>
      <c r="E88" s="61"/>
      <c r="F88" s="62" t="s">
        <v>32</v>
      </c>
      <c r="G88" s="26"/>
      <c r="H88" s="26"/>
    </row>
    <row r="89" spans="1:8" x14ac:dyDescent="0.2">
      <c r="A89" s="189">
        <v>30101</v>
      </c>
      <c r="B89" s="191" t="s">
        <v>41</v>
      </c>
      <c r="C89" s="310">
        <f>IF(Units="US Customary", 0.7, 0.77)</f>
        <v>0.7</v>
      </c>
      <c r="D89" s="192"/>
      <c r="E89" s="193"/>
      <c r="F89" s="210" t="str">
        <f>IF(ISNUMBER(D89),+C$89*D89, "-")</f>
        <v>-</v>
      </c>
      <c r="G89" s="26"/>
      <c r="H89" s="26"/>
    </row>
    <row r="90" spans="1:8" x14ac:dyDescent="0.2">
      <c r="A90" s="189">
        <v>30102</v>
      </c>
      <c r="B90" s="191" t="s">
        <v>42</v>
      </c>
      <c r="C90" s="311"/>
      <c r="D90" s="192"/>
      <c r="E90" s="193"/>
      <c r="F90" s="210" t="str">
        <f t="shared" ref="F90:F97" si="2">IF(ISNUMBER(D90),+C$89*D90, "-")</f>
        <v>-</v>
      </c>
      <c r="G90" s="26"/>
      <c r="H90" s="26"/>
    </row>
    <row r="91" spans="1:8" x14ac:dyDescent="0.2">
      <c r="A91" s="189">
        <v>30103</v>
      </c>
      <c r="B91" s="191" t="s">
        <v>42</v>
      </c>
      <c r="C91" s="311"/>
      <c r="D91" s="192"/>
      <c r="E91" s="193"/>
      <c r="F91" s="210" t="str">
        <f t="shared" si="2"/>
        <v>-</v>
      </c>
      <c r="G91" s="26"/>
      <c r="H91" s="26"/>
    </row>
    <row r="92" spans="1:8" x14ac:dyDescent="0.2">
      <c r="A92" s="237">
        <v>30105</v>
      </c>
      <c r="B92" s="238" t="s">
        <v>43</v>
      </c>
      <c r="C92" s="311"/>
      <c r="D92" s="192"/>
      <c r="E92" s="193"/>
      <c r="F92" s="210" t="str">
        <f t="shared" si="2"/>
        <v>-</v>
      </c>
      <c r="G92" s="26"/>
      <c r="H92" s="26"/>
    </row>
    <row r="93" spans="1:8" x14ac:dyDescent="0.2">
      <c r="A93" s="237">
        <v>30106</v>
      </c>
      <c r="B93" s="238" t="s">
        <v>44</v>
      </c>
      <c r="C93" s="311"/>
      <c r="D93" s="192"/>
      <c r="E93" s="193"/>
      <c r="F93" s="210" t="str">
        <f t="shared" si="2"/>
        <v>-</v>
      </c>
      <c r="G93" s="26"/>
      <c r="H93" s="26"/>
    </row>
    <row r="94" spans="1:8" x14ac:dyDescent="0.2">
      <c r="A94" s="237">
        <v>30107</v>
      </c>
      <c r="B94" s="238" t="s">
        <v>44</v>
      </c>
      <c r="C94" s="311"/>
      <c r="D94" s="192"/>
      <c r="E94" s="193"/>
      <c r="F94" s="210" t="str">
        <f t="shared" si="2"/>
        <v>-</v>
      </c>
      <c r="G94" s="26"/>
      <c r="H94" s="26"/>
    </row>
    <row r="95" spans="1:8" x14ac:dyDescent="0.2">
      <c r="A95" s="237">
        <v>30110</v>
      </c>
      <c r="B95" s="238" t="s">
        <v>137</v>
      </c>
      <c r="C95" s="311"/>
      <c r="D95" s="192"/>
      <c r="E95" s="193"/>
      <c r="F95" s="210" t="str">
        <f t="shared" si="2"/>
        <v>-</v>
      </c>
      <c r="G95" s="26"/>
      <c r="H95" s="26"/>
    </row>
    <row r="96" spans="1:8" x14ac:dyDescent="0.2">
      <c r="A96" s="237">
        <v>30111</v>
      </c>
      <c r="B96" s="238" t="s">
        <v>138</v>
      </c>
      <c r="C96" s="311"/>
      <c r="D96" s="192"/>
      <c r="E96" s="193"/>
      <c r="F96" s="210" t="str">
        <f t="shared" si="2"/>
        <v>-</v>
      </c>
      <c r="G96" s="26"/>
      <c r="H96" s="26"/>
    </row>
    <row r="97" spans="1:8" x14ac:dyDescent="0.2">
      <c r="A97" s="237">
        <v>30112</v>
      </c>
      <c r="B97" s="238" t="s">
        <v>138</v>
      </c>
      <c r="C97" s="311"/>
      <c r="D97" s="192"/>
      <c r="E97" s="193"/>
      <c r="F97" s="210" t="str">
        <f t="shared" si="2"/>
        <v>-</v>
      </c>
      <c r="G97" s="26"/>
      <c r="H97" s="26"/>
    </row>
    <row r="98" spans="1:8" x14ac:dyDescent="0.2">
      <c r="A98" s="63" t="str">
        <f>IF(FP="FP-03","Section 302 - Untreated Aggregate Courses","Section 305 - Full Depth reclamation (FDR) with Cement")</f>
        <v>Section 305 - Full Depth reclamation (FDR) with Cement</v>
      </c>
      <c r="B98" s="64"/>
      <c r="C98" s="59" t="s">
        <v>89</v>
      </c>
      <c r="D98" s="60" t="str">
        <f>IF(Units="US CUSTOMARY",(VLOOKUP(A100,'VLookup table'!A1:E6,4)),(VLOOKUP(A100,'VLookup table'!A1:E6,5)))</f>
        <v>SQYD</v>
      </c>
      <c r="E98" s="65"/>
      <c r="F98" s="62" t="s">
        <v>32</v>
      </c>
      <c r="G98" s="26"/>
      <c r="H98" s="26"/>
    </row>
    <row r="99" spans="1:8" x14ac:dyDescent="0.2">
      <c r="A99" s="189" t="str">
        <f>IF(FP="FP-03","30201","30501")</f>
        <v>30501</v>
      </c>
      <c r="B99" s="190" t="str">
        <f>IF(FP="FP-03","Treated aggregate course","FDR with cement*")</f>
        <v>FDR with cement*</v>
      </c>
      <c r="C99" s="311">
        <f>IF(Units="US CUSTOMARY",(VLOOKUP(A100,'VLookup table'!A2:G8,6)),(VLOOKUP(A100,'VLookup table'!A2:G8,7)))</f>
        <v>0.3</v>
      </c>
      <c r="D99" s="192"/>
      <c r="E99" s="193"/>
      <c r="F99" s="210" t="str">
        <f>IF(ISNUMBER(D99),+C$99*D99, "-")</f>
        <v>-</v>
      </c>
      <c r="G99" s="26"/>
      <c r="H99" s="26"/>
    </row>
    <row r="100" spans="1:8" x14ac:dyDescent="0.2">
      <c r="A100" s="189" t="str">
        <f>IF(FP="FP-03","30202","30502")</f>
        <v>30502</v>
      </c>
      <c r="B100" s="190" t="str">
        <f>IF(FP="FP-03","Treated aggregate course*","FDR with cement")</f>
        <v>FDR with cement</v>
      </c>
      <c r="C100" s="311"/>
      <c r="D100" s="192"/>
      <c r="E100" s="193"/>
      <c r="F100" s="210" t="str">
        <f>IF(ISNUMBER(D100),+C$99*D100, "-")</f>
        <v>-</v>
      </c>
      <c r="G100" s="26"/>
      <c r="H100" s="26"/>
    </row>
    <row r="101" spans="1:8" x14ac:dyDescent="0.2">
      <c r="A101" s="63" t="str">
        <f>IF(FP="FP-03","Section 304 - Aggregate Stabilization","Section 306 - Full Depth Reclamation (FDR) with Asphalt")</f>
        <v>Section 306 - Full Depth Reclamation (FDR) with Asphalt</v>
      </c>
      <c r="B101" s="66"/>
      <c r="C101" s="59" t="s">
        <v>89</v>
      </c>
      <c r="D101" s="60" t="str">
        <f>IF(Units="US CUSTOMARY",(VLOOKUP(A103,'VLookup table'!A7:E17,4)),(VLOOKUP(A103,'VLookup table'!A7:E17,5)))</f>
        <v>SQYD</v>
      </c>
      <c r="E101" s="65"/>
      <c r="F101" s="62" t="s">
        <v>32</v>
      </c>
      <c r="G101" s="26"/>
      <c r="H101" s="26"/>
    </row>
    <row r="102" spans="1:8" x14ac:dyDescent="0.2">
      <c r="A102" s="189" t="str">
        <f>IF(FP="FP-03","30401","30601")</f>
        <v>30601</v>
      </c>
      <c r="B102" s="194" t="str">
        <f>IF(FP="FP-03","Aggregate stabilzation imported aggregate","FDR with emulsified asphalt*")</f>
        <v>FDR with emulsified asphalt*</v>
      </c>
      <c r="C102" s="310">
        <f>IF(Units="US CUSTOMARY",(VLOOKUP(A103,'VLookup table'!A2:G8,6)),(VLOOKUP(A103,'VLookup table'!A2:G8,7)))</f>
        <v>0.3</v>
      </c>
      <c r="D102" s="192"/>
      <c r="E102" s="193"/>
      <c r="F102" s="210" t="str">
        <f>IF(ISNUMBER(D102),+C$102*D102, "-")</f>
        <v>-</v>
      </c>
      <c r="G102" s="74"/>
      <c r="H102" s="26"/>
    </row>
    <row r="103" spans="1:8" x14ac:dyDescent="0.2">
      <c r="A103" s="189" t="str">
        <f>IF(FP="FP-03","30402","30602")</f>
        <v>30602</v>
      </c>
      <c r="B103" s="194" t="str">
        <f>IF(FP="FP-03","Aggregate stabilzation imported aggregate*","FDR with emulsified asphalt")</f>
        <v>FDR with emulsified asphalt</v>
      </c>
      <c r="C103" s="311"/>
      <c r="D103" s="192"/>
      <c r="E103" s="193"/>
      <c r="F103" s="210" t="str">
        <f t="shared" ref="F103:F106" si="3">IF(ISNUMBER(D103),+C$102*D103, "-")</f>
        <v>-</v>
      </c>
      <c r="G103" s="74"/>
      <c r="H103" s="26"/>
    </row>
    <row r="104" spans="1:8" x14ac:dyDescent="0.2">
      <c r="A104" s="189" t="str">
        <f>IF(FP="FP-03","30405","30603")</f>
        <v>30603</v>
      </c>
      <c r="B104" s="194" t="str">
        <f>IF(FP="FP-03","Aggregate stabilzation in-place aggregate*","FDR with foamed asphalt*")</f>
        <v>FDR with foamed asphalt*</v>
      </c>
      <c r="C104" s="311"/>
      <c r="D104" s="192"/>
      <c r="E104" s="193"/>
      <c r="F104" s="210" t="str">
        <f t="shared" si="3"/>
        <v>-</v>
      </c>
      <c r="G104" s="74"/>
      <c r="H104" s="26"/>
    </row>
    <row r="105" spans="1:8" x14ac:dyDescent="0.2">
      <c r="A105" s="195" t="str">
        <f>IF(FP="FP-03","30410","30604")</f>
        <v>30604</v>
      </c>
      <c r="B105" s="196" t="str">
        <f>IF(FP="FP-03","Aggregate stabilzation imported surface course*","FDR with foamed asphalt")</f>
        <v>FDR with foamed asphalt</v>
      </c>
      <c r="C105" s="311"/>
      <c r="D105" s="197"/>
      <c r="E105" s="198"/>
      <c r="F105" s="210" t="str">
        <f t="shared" si="3"/>
        <v>-</v>
      </c>
      <c r="G105" s="74"/>
      <c r="H105" s="26"/>
    </row>
    <row r="106" spans="1:8" ht="22.5" customHeight="1" x14ac:dyDescent="0.2">
      <c r="A106" s="195" t="str">
        <f>IF(FP="FP-03","30411","")</f>
        <v/>
      </c>
      <c r="B106" s="196" t="str">
        <f>IF(FP="FP-03","Aggregate stabilzation imported surface course*"," ")</f>
        <v xml:space="preserve"> </v>
      </c>
      <c r="C106" s="311"/>
      <c r="D106" s="197"/>
      <c r="E106" s="198"/>
      <c r="F106" s="210" t="str">
        <f t="shared" si="3"/>
        <v>-</v>
      </c>
      <c r="G106" s="74"/>
      <c r="H106" s="26"/>
    </row>
    <row r="107" spans="1:8" x14ac:dyDescent="0.2">
      <c r="A107" s="63" t="s">
        <v>139</v>
      </c>
      <c r="B107" s="66"/>
      <c r="C107" s="59" t="s">
        <v>89</v>
      </c>
      <c r="D107" s="60" t="str">
        <f>IF(Units="US CUSTOMARY"," Tons"," tonnes")</f>
        <v xml:space="preserve"> Tons</v>
      </c>
      <c r="E107" s="65"/>
      <c r="F107" s="67" t="s">
        <v>32</v>
      </c>
      <c r="G107" s="26"/>
      <c r="H107" s="26"/>
    </row>
    <row r="108" spans="1:8" x14ac:dyDescent="0.2">
      <c r="A108" s="189">
        <v>30901</v>
      </c>
      <c r="B108" s="239" t="s">
        <v>78</v>
      </c>
      <c r="C108" s="310">
        <f>IF(Units="US Customary", 0.7, 0.77)</f>
        <v>0.7</v>
      </c>
      <c r="D108" s="192"/>
      <c r="E108" s="193"/>
      <c r="F108" s="210" t="str">
        <f>IF(ISNUMBER(D108),+C$108*D108, "-")</f>
        <v>-</v>
      </c>
      <c r="G108" s="26"/>
      <c r="H108" s="26"/>
    </row>
    <row r="109" spans="1:8" x14ac:dyDescent="0.2">
      <c r="A109" s="189">
        <v>30902</v>
      </c>
      <c r="B109" s="239" t="s">
        <v>79</v>
      </c>
      <c r="C109" s="311"/>
      <c r="D109" s="192"/>
      <c r="E109" s="193"/>
      <c r="F109" s="210" t="str">
        <f t="shared" ref="F109:F110" si="4">IF(ISNUMBER(D109),+C$108*D109, "-")</f>
        <v>-</v>
      </c>
      <c r="G109" s="26"/>
      <c r="H109" s="26"/>
    </row>
    <row r="110" spans="1:8" x14ac:dyDescent="0.2">
      <c r="A110" s="189">
        <v>30903</v>
      </c>
      <c r="B110" s="239" t="s">
        <v>79</v>
      </c>
      <c r="C110" s="311"/>
      <c r="D110" s="192"/>
      <c r="E110" s="193"/>
      <c r="F110" s="210" t="str">
        <f t="shared" si="4"/>
        <v>-</v>
      </c>
      <c r="G110" s="26"/>
      <c r="H110" s="26"/>
    </row>
    <row r="111" spans="1:8" x14ac:dyDescent="0.2">
      <c r="A111" s="63" t="str">
        <f>IF(FP="FP-03","Section 401 - Superpave HACP","Section 310 - Cold In-Place (CIP) Recycled Asphalt Base")</f>
        <v>Section 310 - Cold In-Place (CIP) Recycled Asphalt Base</v>
      </c>
      <c r="B111" s="58"/>
      <c r="C111" s="59" t="s">
        <v>89</v>
      </c>
      <c r="D111" s="82" t="str">
        <f>IF(Units="US CUSTOMARY", (VLOOKUP(A113,'VLookup table'!A18:G27,4)),(VLOOKUP(A113,'VLookup table'!A18:G27,5)))</f>
        <v>SQYD</v>
      </c>
      <c r="E111" s="65"/>
      <c r="F111" s="67" t="s">
        <v>32</v>
      </c>
      <c r="G111" s="84"/>
      <c r="H111" s="26"/>
    </row>
    <row r="112" spans="1:8" x14ac:dyDescent="0.2">
      <c r="A112" s="189" t="str">
        <f>IF(FP="FP-03","40101","31001")</f>
        <v>31001</v>
      </c>
      <c r="B112" s="190" t="str">
        <f>IF(FP="FP-03","Superpave pavement","CIP recycled ashalt base*")</f>
        <v>CIP recycled ashalt base*</v>
      </c>
      <c r="C112" s="311">
        <f>IF(Units="US CUSTOMARY",(VLOOKUP(A113,'VLookup table'!A18:G27,6)),(VLOOKUP(A113,'VLookup table'!A18:G27,7)))</f>
        <v>0.15</v>
      </c>
      <c r="D112" s="192"/>
      <c r="E112" s="193"/>
      <c r="F112" s="210" t="str">
        <f>IF(ISNUMBER(D112),+C$112*D112, "-")</f>
        <v>-</v>
      </c>
      <c r="G112" s="26"/>
      <c r="H112" s="26"/>
    </row>
    <row r="113" spans="1:8" ht="22.5" customHeight="1" x14ac:dyDescent="0.2">
      <c r="A113" s="195" t="str">
        <f>IF(FP="FP-03","40102","31002")</f>
        <v>31002</v>
      </c>
      <c r="B113" s="196" t="str">
        <f>IF(FP="FP-03","Superpave pavement wedge and levelling course","CIP recycled ashalt base")</f>
        <v>CIP recycled ashalt base</v>
      </c>
      <c r="C113" s="311"/>
      <c r="D113" s="197"/>
      <c r="E113" s="198"/>
      <c r="F113" s="210" t="str">
        <f>IF(ISNUMBER(D113),+C$112*D113, "-")</f>
        <v>-</v>
      </c>
      <c r="G113" s="26"/>
      <c r="H113" s="26"/>
    </row>
    <row r="114" spans="1:8" x14ac:dyDescent="0.2">
      <c r="A114" s="63" t="str">
        <f>IF(FP="FP-03","Section 402 - HACP by Hveem or Marshall","Section 311 - Stabilized Aggregate Base Course")</f>
        <v>Section 311 - Stabilized Aggregate Base Course</v>
      </c>
      <c r="B114" s="58"/>
      <c r="C114" s="59" t="s">
        <v>89</v>
      </c>
      <c r="D114" s="82" t="str">
        <f>IF(Units="US CUSTOMARY", (VLOOKUP(A116,'VLookup table'!A21:G29,4)),(VLOOKUP(A116,'VLookup table'!A21:G29,5)))</f>
        <v>Tons</v>
      </c>
      <c r="E114" s="65"/>
      <c r="F114" s="67" t="s">
        <v>32</v>
      </c>
      <c r="G114" s="26"/>
      <c r="H114" s="26"/>
    </row>
    <row r="115" spans="1:8" ht="12.75" customHeight="1" x14ac:dyDescent="0.2">
      <c r="A115" s="189" t="str">
        <f>IF(FP="FP-03","40201","31101")</f>
        <v>31101</v>
      </c>
      <c r="B115" s="190" t="str">
        <f>IF(FP="FP-03","HACP Hveem or Marshall test","Stabilized aggregate surface course*")</f>
        <v>Stabilized aggregate surface course*</v>
      </c>
      <c r="C115" s="304">
        <f>IF(Units="US CUSTOMARY",(VLOOKUP(A116,'VLookup table'!A21:G29,6)),(VLOOKUP(A116,'VLookup table'!A21:G29,7)))</f>
        <v>0.7</v>
      </c>
      <c r="D115" s="192"/>
      <c r="E115" s="193"/>
      <c r="F115" s="210" t="str">
        <f>IF(ISNUMBER(D115),+C$115*D115, "-")</f>
        <v>-</v>
      </c>
      <c r="G115" s="84"/>
      <c r="H115" s="26"/>
    </row>
    <row r="116" spans="1:8" ht="23.25" customHeight="1" x14ac:dyDescent="0.2">
      <c r="A116" s="195" t="str">
        <f>IF(FP="FP-03","40202","31102")</f>
        <v>31102</v>
      </c>
      <c r="B116" s="196" t="str">
        <f>IF(FP="FP-03","HACP Hveem or Marshall test, wedge and levelling course","Stabilized aggregate surface course*")</f>
        <v>Stabilized aggregate surface course*</v>
      </c>
      <c r="C116" s="304"/>
      <c r="D116" s="197"/>
      <c r="E116" s="198"/>
      <c r="F116" s="210" t="str">
        <f t="shared" ref="F116:F117" si="5">IF(ISNUMBER(D116),+C$115*D116, "-")</f>
        <v>-</v>
      </c>
      <c r="G116" s="26"/>
      <c r="H116" s="26"/>
    </row>
    <row r="117" spans="1:8" x14ac:dyDescent="0.2">
      <c r="A117" s="189" t="str">
        <f>IF(FP="FP-03"," ","31103")</f>
        <v>31103</v>
      </c>
      <c r="B117" s="190" t="str">
        <f>IF(FP="FP-03"," ","Stabilized aggregate surface course")</f>
        <v>Stabilized aggregate surface course</v>
      </c>
      <c r="C117" s="305"/>
      <c r="D117" s="192"/>
      <c r="E117" s="193"/>
      <c r="F117" s="210" t="str">
        <f t="shared" si="5"/>
        <v>-</v>
      </c>
      <c r="G117" s="26"/>
      <c r="H117" s="26"/>
    </row>
    <row r="118" spans="1:8" x14ac:dyDescent="0.2">
      <c r="A118" s="68" t="str">
        <f>IF(FP="FP-03","Section 403 - Hot Asphalt Concrete Pavement","Section 401 - ACP by Gyratory Mix Design Method")</f>
        <v>Section 401 - ACP by Gyratory Mix Design Method</v>
      </c>
      <c r="B118" s="69"/>
      <c r="C118" s="79" t="s">
        <v>89</v>
      </c>
      <c r="D118" s="82" t="str">
        <f>IF(Units="US CUSTOMARY", (VLOOKUP(A120,'VLookup table'!A30:G35,4)),(VLOOKUP(A120,'VLookup table'!A30:G35,5)))</f>
        <v>Tons</v>
      </c>
      <c r="E118" s="72"/>
      <c r="F118" s="78" t="s">
        <v>32</v>
      </c>
      <c r="G118" s="26"/>
      <c r="H118" s="26"/>
    </row>
    <row r="119" spans="1:8" x14ac:dyDescent="0.2">
      <c r="A119" s="199" t="str">
        <f>IF(FP="FP-03","40301","40101")</f>
        <v>40101</v>
      </c>
      <c r="B119" s="191" t="str">
        <f>IF(FP="FP-03","Hot asphalt concrete pavement","Asphalt concrete pavement, gyratory mix")</f>
        <v>Asphalt concrete pavement, gyratory mix</v>
      </c>
      <c r="C119" s="304">
        <f>IF(Units="US CUSTOMARY",(VLOOKUP(A120,'VLookup table'!A30:G35,6)),(VLOOKUP(A120,'VLookup table'!A30:G35,7)))</f>
        <v>2.4</v>
      </c>
      <c r="D119" s="200"/>
      <c r="E119" s="201"/>
      <c r="F119" s="240" t="str">
        <f>IF(ISNUMBER(D119),+C$119*D119, "-")</f>
        <v>-</v>
      </c>
      <c r="G119" s="84"/>
      <c r="H119" s="26"/>
    </row>
    <row r="120" spans="1:8" ht="22.5" x14ac:dyDescent="0.2">
      <c r="A120" s="202" t="str">
        <f>IF(FP="FP-03","40302","40102")</f>
        <v>40102</v>
      </c>
      <c r="B120" s="203" t="str">
        <f>IF(FP="FP-03","Hot asphalt concrete pavement, wedge and levelling course","Asphalt concrete pavement, gyratory mix, wedged and leveling")</f>
        <v>Asphalt concrete pavement, gyratory mix, wedged and leveling</v>
      </c>
      <c r="C120" s="304"/>
      <c r="D120" s="204"/>
      <c r="E120" s="205"/>
      <c r="F120" s="240" t="str">
        <f>IF(ISNUMBER(D120),+C$119*D120, "-")</f>
        <v>-</v>
      </c>
      <c r="G120" s="26"/>
      <c r="H120" s="26"/>
    </row>
    <row r="121" spans="1:8" ht="28.5" customHeight="1" x14ac:dyDescent="0.25">
      <c r="A121" s="306" t="str">
        <f>IF(FP="FP-03","Section 405 - Open-Graded Asphalt Friction Course","Section 402 - ACP by Hveem or Marshall Mix Design Method")</f>
        <v>Section 402 - ACP by Hveem or Marshall Mix Design Method</v>
      </c>
      <c r="B121" s="307"/>
      <c r="C121" s="162" t="s">
        <v>89</v>
      </c>
      <c r="D121" s="163" t="str">
        <f>IF(Units="US CUSTOMARY", (VLOOKUP(A121,'VLookup table'!A37:G40,4)),(VLOOKUP(A121,'VLookup table'!A37:G40,5)))</f>
        <v>Tons</v>
      </c>
      <c r="E121" s="164"/>
      <c r="F121" s="165" t="s">
        <v>32</v>
      </c>
      <c r="G121" s="26"/>
      <c r="H121" s="26"/>
    </row>
    <row r="122" spans="1:8" ht="12.75" customHeight="1" x14ac:dyDescent="0.2">
      <c r="A122" s="199" t="str">
        <f>IF(FP="FP-03","40501","40201")</f>
        <v>40201</v>
      </c>
      <c r="B122" s="191" t="str">
        <f>IF(FP="FP-03","Open-graded asphalt friction course","ACP Hveem or Marshall Mix Design Method")</f>
        <v>ACP Hveem or Marshall Mix Design Method</v>
      </c>
      <c r="C122" s="304">
        <f>IF(Units="US CUSTOMARY",(VLOOKUP(A121,'VLookup table'!A35:G39,6)),(VLOOKUP(A121,'VLookup table'!A35:G39,7)))</f>
        <v>2.4</v>
      </c>
      <c r="D122" s="200"/>
      <c r="E122" s="201"/>
      <c r="F122" s="240" t="str">
        <f>IF(ISNUMBER(D122),+C$122*D122, "-")</f>
        <v>-</v>
      </c>
      <c r="G122" s="84"/>
      <c r="H122" s="26"/>
    </row>
    <row r="123" spans="1:8" ht="23.25" customHeight="1" x14ac:dyDescent="0.2">
      <c r="A123" s="202" t="str">
        <f>IF(FP="FP-03","","40202")</f>
        <v>40202</v>
      </c>
      <c r="B123" s="203" t="str">
        <f>IF(FP="FP-03","","ACP Hveen or Marshall Mix, wedge and leveling")</f>
        <v>ACP Hveen or Marshall Mix, wedge and leveling</v>
      </c>
      <c r="C123" s="304"/>
      <c r="D123" s="204"/>
      <c r="E123" s="205"/>
      <c r="F123" s="240" t="str">
        <f>IF(ISNUMBER(D123),+C$122*D123, "-")</f>
        <v>-</v>
      </c>
      <c r="G123" s="26"/>
      <c r="H123" s="26"/>
    </row>
    <row r="124" spans="1:8" x14ac:dyDescent="0.2">
      <c r="A124" s="68" t="str">
        <f>IF(FP="FP-03","Section 408 - Cold Recycled Asphalt base Course","Section 403 - Asphalt Concrete")</f>
        <v>Section 403 - Asphalt Concrete</v>
      </c>
      <c r="B124" s="69"/>
      <c r="C124" s="79" t="s">
        <v>89</v>
      </c>
      <c r="D124" s="82" t="str">
        <f>IF(Units="US CUSTOMARY", (VLOOKUP(A124,'VLookup table'!A38:G46,4)),(VLOOKUP(A124,'VLookup table'!A38:G46,5)))</f>
        <v>Tons</v>
      </c>
      <c r="E124" s="72"/>
      <c r="F124" s="78" t="s">
        <v>32</v>
      </c>
      <c r="G124" s="49"/>
      <c r="H124" s="49"/>
    </row>
    <row r="125" spans="1:8" x14ac:dyDescent="0.2">
      <c r="A125" s="199" t="str">
        <f>IF(FP="FP-03","40801","40301")</f>
        <v>40301</v>
      </c>
      <c r="B125" s="191" t="str">
        <f>IF(FP="FP-03","Cold recylced aphalt base","Asphalt concrete pavement")</f>
        <v>Asphalt concrete pavement</v>
      </c>
      <c r="C125" s="304">
        <f>IF(Units="US CUSTOMARY",(VLOOKUP(A124,'VLookup table'!A38:G46,6)),(VLOOKUP(A124,'VLookup table'!A38:G46,7)))</f>
        <v>2.4</v>
      </c>
      <c r="D125" s="200"/>
      <c r="E125" s="201"/>
      <c r="F125" s="240" t="str">
        <f>IF(ISNUMBER(D125),+C$125*D125, "-")</f>
        <v>-</v>
      </c>
      <c r="G125" s="154"/>
      <c r="H125" s="18"/>
    </row>
    <row r="126" spans="1:8" x14ac:dyDescent="0.2">
      <c r="A126" s="199" t="str">
        <f>IF(FP="FP-03","40802","40302")</f>
        <v>40302</v>
      </c>
      <c r="B126" s="191" t="str">
        <f>IF(FP="FP-03","Cold recylced aphalt base*","Asphalt concrete pavement*")</f>
        <v>Asphalt concrete pavement*</v>
      </c>
      <c r="C126" s="304"/>
      <c r="D126" s="200"/>
      <c r="E126" s="201"/>
      <c r="F126" s="240" t="str">
        <f t="shared" ref="F126:F127" si="6">IF(ISNUMBER(D126),+C$125*D126, "-")</f>
        <v>-</v>
      </c>
      <c r="G126" s="45"/>
      <c r="H126" s="45"/>
    </row>
    <row r="127" spans="1:8" ht="22.5" x14ac:dyDescent="0.2">
      <c r="A127" s="202" t="str">
        <f>IF(FP="FP-03","","40303")</f>
        <v>40303</v>
      </c>
      <c r="B127" s="203" t="str">
        <f>IF(FP="FP-03","","Asphalt concrete pavement, wedge and levelling")</f>
        <v>Asphalt concrete pavement, wedge and levelling</v>
      </c>
      <c r="C127" s="305"/>
      <c r="D127" s="204"/>
      <c r="E127" s="205"/>
      <c r="F127" s="240" t="str">
        <f t="shared" si="6"/>
        <v>-</v>
      </c>
      <c r="G127" s="45"/>
      <c r="H127" s="45"/>
    </row>
    <row r="128" spans="1:8" ht="15" x14ac:dyDescent="0.25">
      <c r="A128" s="295" t="s">
        <v>183</v>
      </c>
      <c r="B128" s="206"/>
      <c r="C128" s="241"/>
      <c r="D128" s="250"/>
      <c r="E128" s="207"/>
      <c r="F128" s="242"/>
      <c r="G128" s="45"/>
      <c r="H128" s="45"/>
    </row>
    <row r="129" spans="1:8" ht="15" x14ac:dyDescent="0.25">
      <c r="A129" s="166"/>
      <c r="B129" s="161"/>
      <c r="C129" s="243"/>
      <c r="D129" s="251"/>
      <c r="E129" s="208"/>
      <c r="F129" s="244"/>
      <c r="G129" s="45"/>
      <c r="H129" s="45"/>
    </row>
    <row r="130" spans="1:8" ht="15" x14ac:dyDescent="0.25">
      <c r="A130" s="166"/>
      <c r="B130" s="161"/>
      <c r="C130" s="243"/>
      <c r="D130" s="251"/>
      <c r="E130" s="208"/>
      <c r="F130" s="244"/>
      <c r="G130" s="45"/>
      <c r="H130" s="45"/>
    </row>
    <row r="131" spans="1:8" ht="18" x14ac:dyDescent="0.25">
      <c r="A131" s="298" t="s">
        <v>28</v>
      </c>
      <c r="B131" s="298"/>
      <c r="C131" s="298"/>
      <c r="D131" s="298"/>
      <c r="E131" s="298"/>
      <c r="F131" s="298"/>
      <c r="G131" s="298"/>
      <c r="H131" s="298"/>
    </row>
    <row r="132" spans="1:8" x14ac:dyDescent="0.2">
      <c r="A132" s="7"/>
      <c r="B132" s="7"/>
      <c r="C132" s="11" t="s">
        <v>24</v>
      </c>
      <c r="D132" s="12" t="str">
        <f>IF(FP="FP-03","FP-03","FP-14")</f>
        <v>FP-14</v>
      </c>
      <c r="E132" s="8"/>
      <c r="F132" s="9"/>
      <c r="G132" s="9"/>
      <c r="H132" s="9"/>
    </row>
    <row r="133" spans="1:8" x14ac:dyDescent="0.2">
      <c r="A133" s="7"/>
      <c r="B133" s="7"/>
      <c r="C133" s="7"/>
      <c r="D133" s="10"/>
      <c r="E133" s="8"/>
      <c r="F133" s="9"/>
      <c r="G133" s="9"/>
      <c r="H133" s="9"/>
    </row>
    <row r="134" spans="1:8" x14ac:dyDescent="0.2">
      <c r="A134" s="11" t="s">
        <v>3</v>
      </c>
      <c r="B134" s="153" t="str">
        <f>+B4</f>
        <v>Enter Project Number</v>
      </c>
      <c r="C134" s="153"/>
      <c r="D134" s="12"/>
      <c r="E134" s="12"/>
      <c r="F134" s="13"/>
      <c r="G134" s="14" t="s">
        <v>5</v>
      </c>
      <c r="H134" s="15">
        <f ca="1" xml:space="preserve"> TODAY()</f>
        <v>43503</v>
      </c>
    </row>
    <row r="135" spans="1:8" ht="3.75" customHeight="1" x14ac:dyDescent="0.2">
      <c r="A135" s="11"/>
      <c r="B135" s="153"/>
      <c r="C135" s="153"/>
      <c r="D135" s="12"/>
      <c r="E135" s="12"/>
      <c r="F135" s="13"/>
      <c r="G135" s="14"/>
      <c r="H135" s="15"/>
    </row>
    <row r="136" spans="1:8" x14ac:dyDescent="0.2">
      <c r="A136" s="11" t="s">
        <v>4</v>
      </c>
      <c r="B136" s="303" t="str">
        <f>+B6</f>
        <v>Enter Project name</v>
      </c>
      <c r="C136" s="303"/>
      <c r="D136" s="303"/>
      <c r="E136" s="303"/>
      <c r="F136" s="303"/>
      <c r="G136" s="14" t="str">
        <f>+G6</f>
        <v xml:space="preserve">Schedule: </v>
      </c>
      <c r="H136" s="17" t="str">
        <f>+H6</f>
        <v>A</v>
      </c>
    </row>
    <row r="137" spans="1:8" x14ac:dyDescent="0.2">
      <c r="A137" s="7"/>
      <c r="B137" s="7"/>
      <c r="C137" s="7"/>
      <c r="D137" s="8"/>
      <c r="E137" s="8"/>
      <c r="F137" s="9"/>
      <c r="G137" s="14" t="s">
        <v>8</v>
      </c>
      <c r="H137" s="13" t="str">
        <f>+Units</f>
        <v>US CUSTOMARY</v>
      </c>
    </row>
    <row r="138" spans="1:8" ht="6.75" customHeight="1" thickBot="1" x14ac:dyDescent="0.25">
      <c r="A138" s="7"/>
      <c r="B138" s="7"/>
      <c r="C138" s="7"/>
      <c r="D138" s="8"/>
      <c r="E138" s="8"/>
      <c r="F138" s="9"/>
      <c r="G138" s="14"/>
      <c r="H138" s="13"/>
    </row>
    <row r="139" spans="1:8" ht="19.5" customHeight="1" thickBot="1" x14ac:dyDescent="0.25">
      <c r="A139" s="231" t="s">
        <v>151</v>
      </c>
      <c r="B139" s="232"/>
      <c r="C139" s="232"/>
      <c r="D139" s="232"/>
      <c r="E139" s="232"/>
      <c r="F139" s="232"/>
      <c r="G139" s="232"/>
      <c r="H139" s="233"/>
    </row>
    <row r="140" spans="1:8" ht="5.25" customHeight="1" x14ac:dyDescent="0.2">
      <c r="A140" s="18"/>
      <c r="B140" s="44"/>
      <c r="C140" s="44"/>
      <c r="D140" s="45"/>
      <c r="E140" s="46"/>
      <c r="F140" s="45"/>
      <c r="G140" s="45"/>
      <c r="H140" s="45"/>
    </row>
    <row r="141" spans="1:8" ht="24" customHeight="1" x14ac:dyDescent="0.2">
      <c r="A141" s="312" t="str">
        <f>IF(FP="FP-03","Section 416 - Continuous Cold Recycled Asphalt Base Course","Section 405 - Open-Graded Asphalt Friction")</f>
        <v>Section 405 - Open-Graded Asphalt Friction</v>
      </c>
      <c r="B141" s="313"/>
      <c r="C141" s="79" t="s">
        <v>89</v>
      </c>
      <c r="D141" s="82" t="str">
        <f>IF(Units="US CUSTOMARY", (VLOOKUP(A141,'VLookup table'!A42:G50,4)),(VLOOKUP(A141,'VLookup table'!A42:G50,5)))</f>
        <v>Tons</v>
      </c>
      <c r="E141" s="72"/>
      <c r="F141" s="78" t="s">
        <v>32</v>
      </c>
      <c r="G141" s="45"/>
      <c r="H141" s="45"/>
    </row>
    <row r="142" spans="1:8" ht="15" x14ac:dyDescent="0.2">
      <c r="A142" s="70" t="str">
        <f>IF(FP="FP-03","41601","40501")</f>
        <v>40501</v>
      </c>
      <c r="B142" s="71" t="str">
        <f>IF(FP="FP-03","Continuous cold recylced aphalt base","Open-graded asphalt friction course")</f>
        <v>Open-graded asphalt friction course</v>
      </c>
      <c r="C142" s="245">
        <f>IF(Units="US CUSTOMARY",(VLOOKUP(A141,'VLookup table'!A42:G50,6)),(VLOOKUP(A141,'VLookup table'!A42:G50,7)))</f>
        <v>2.4</v>
      </c>
      <c r="D142" s="75"/>
      <c r="E142" s="73"/>
      <c r="F142" s="246" t="str">
        <f>IF(ISNUMBER(D142),+C$142*D142, "-")</f>
        <v>-</v>
      </c>
      <c r="G142" s="152"/>
      <c r="H142" s="45"/>
    </row>
    <row r="143" spans="1:8" ht="26.25" customHeight="1" x14ac:dyDescent="0.2">
      <c r="A143" s="312" t="str">
        <f>IF(FP="FP-03","Section 418 - Foamed Asphalt Stabilized Base - not in FP (in SCRs)","Not applicable")</f>
        <v>Not applicable</v>
      </c>
      <c r="B143" s="314"/>
      <c r="C143" s="162" t="s">
        <v>89</v>
      </c>
      <c r="D143" s="163" t="e">
        <f>IF(Units="US CUSTOMARY", (VLOOKUP(A143,'VLookup table'!A49:G54,4)),(VLOOKUP(A143,'VLookup table'!A49:G54,5)))</f>
        <v>#N/A</v>
      </c>
      <c r="E143" s="164"/>
      <c r="F143" s="165" t="s">
        <v>32</v>
      </c>
      <c r="G143" s="152"/>
      <c r="H143" s="45"/>
    </row>
    <row r="144" spans="1:8" ht="15" x14ac:dyDescent="0.2">
      <c r="A144" s="70" t="str">
        <f>IF(FP="FP-03","41801","")</f>
        <v/>
      </c>
      <c r="B144" s="71" t="str">
        <f>IF(FP="FP-03","Foamed asphalt stabilized base course","")</f>
        <v/>
      </c>
      <c r="C144" s="245" t="e">
        <f>IF(Units="US CUSTOMARY",(VLOOKUP(A143,'VLookup table'!A49:G53,6)),(VLOOKUP(A143,'VLookup table'!A49:G53,7)))</f>
        <v>#N/A</v>
      </c>
      <c r="D144" s="75"/>
      <c r="E144" s="73"/>
      <c r="F144" s="246" t="str">
        <f>IF(ISNUMBER(D144),+C$144*D144, "-")</f>
        <v>-</v>
      </c>
      <c r="G144" s="152"/>
      <c r="H144" s="49"/>
    </row>
    <row r="145" spans="1:8" x14ac:dyDescent="0.2">
      <c r="A145" s="68" t="str">
        <f>IF(FP="FP-03","Section 501 - Rigid pavement","Not applicable")</f>
        <v>Not applicable</v>
      </c>
      <c r="B145" s="69"/>
      <c r="C145" s="79" t="s">
        <v>89</v>
      </c>
      <c r="D145" s="82" t="e">
        <f>IF(Units="US CUSTOMARY", (VLOOKUP(A146,'VLookup table'!A54:G56,4)),(VLOOKUP(A146,'VLookup table'!A54:G56,5)))</f>
        <v>#N/A</v>
      </c>
      <c r="E145" s="72"/>
      <c r="F145" s="78" t="s">
        <v>32</v>
      </c>
      <c r="G145" s="50"/>
      <c r="H145" s="51"/>
    </row>
    <row r="146" spans="1:8" x14ac:dyDescent="0.2">
      <c r="A146" s="199" t="str">
        <f>IF(FP="FP-03","50101","")</f>
        <v/>
      </c>
      <c r="B146" s="191" t="str">
        <f>IF(FP="FP-03","Reinforced rigid pavement","")</f>
        <v/>
      </c>
      <c r="C146" s="304" t="e">
        <f>IF(Units="US CUSTOMARY",(VLOOKUP(A146,'VLookup table'!A54:G56,6)),(VLOOKUP(A146,'VLookup table'!A54:G56,7)))</f>
        <v>#N/A</v>
      </c>
      <c r="D146" s="200"/>
      <c r="E146" s="201"/>
      <c r="F146" s="240" t="str">
        <f>IF(ISNUMBER(D146),+C$146*D146, "-")</f>
        <v>-</v>
      </c>
      <c r="G146" s="50"/>
      <c r="H146" s="51"/>
    </row>
    <row r="147" spans="1:8" x14ac:dyDescent="0.2">
      <c r="A147" s="199" t="str">
        <f>IF(FP="FP-03","50102","")</f>
        <v/>
      </c>
      <c r="B147" s="191" t="str">
        <f>IF(FP="FP-03","Plain rigid pavement","")</f>
        <v/>
      </c>
      <c r="C147" s="305"/>
      <c r="D147" s="200"/>
      <c r="E147" s="201"/>
      <c r="F147" s="240" t="str">
        <f>IF(ISNUMBER(D147),+C$146*D147, "-")</f>
        <v>-</v>
      </c>
      <c r="G147" s="50"/>
      <c r="H147" s="51"/>
    </row>
    <row r="148" spans="1:8" x14ac:dyDescent="0.2">
      <c r="A148" s="47"/>
      <c r="B148" s="47"/>
      <c r="C148" s="47"/>
      <c r="D148" s="48"/>
      <c r="E148" s="48"/>
      <c r="F148" s="49"/>
      <c r="G148" s="49"/>
      <c r="H148" s="49"/>
    </row>
    <row r="149" spans="1:8" x14ac:dyDescent="0.2">
      <c r="A149" s="47"/>
      <c r="B149" s="47"/>
      <c r="C149" s="47"/>
      <c r="D149" s="48"/>
      <c r="E149" s="48"/>
      <c r="F149" s="49"/>
      <c r="G149" s="49"/>
      <c r="H149" s="49"/>
    </row>
    <row r="150" spans="1:8" x14ac:dyDescent="0.2">
      <c r="A150" s="209"/>
      <c r="B150" s="216"/>
      <c r="C150" s="217"/>
      <c r="D150" s="218" t="s">
        <v>144</v>
      </c>
      <c r="E150" s="217"/>
      <c r="F150" s="219">
        <f>SUM(F78:F127)+SUM(F141:F147)</f>
        <v>0</v>
      </c>
      <c r="G150" s="18"/>
      <c r="H150" s="18"/>
    </row>
    <row r="151" spans="1:8" ht="4.5" customHeight="1" x14ac:dyDescent="0.2">
      <c r="A151" s="18"/>
      <c r="B151" s="220"/>
      <c r="C151" s="44"/>
      <c r="D151" s="46"/>
      <c r="E151" s="46"/>
      <c r="F151" s="221"/>
      <c r="G151" s="45"/>
      <c r="H151" s="45"/>
    </row>
    <row r="152" spans="1:8" x14ac:dyDescent="0.2">
      <c r="A152" s="18"/>
      <c r="B152" s="222"/>
      <c r="C152" s="47"/>
      <c r="D152" s="211" t="s">
        <v>140</v>
      </c>
      <c r="E152" s="52"/>
      <c r="F152" s="252"/>
      <c r="G152" s="45"/>
      <c r="H152" s="45"/>
    </row>
    <row r="153" spans="1:8" ht="7.5" customHeight="1" x14ac:dyDescent="0.2">
      <c r="A153" s="18"/>
      <c r="B153" s="223"/>
      <c r="C153" s="47"/>
      <c r="D153" s="215"/>
      <c r="E153" s="52"/>
      <c r="F153" s="221"/>
      <c r="G153" s="45"/>
      <c r="H153" s="45"/>
    </row>
    <row r="154" spans="1:8" x14ac:dyDescent="0.2">
      <c r="A154" s="18"/>
      <c r="B154" s="223"/>
      <c r="C154" s="47"/>
      <c r="D154" s="211" t="s">
        <v>141</v>
      </c>
      <c r="E154" s="52"/>
      <c r="F154" s="224" t="str">
        <f>IF(F152&lt;&gt;"",F152*1.6,"-")</f>
        <v>-</v>
      </c>
      <c r="G154" s="45"/>
      <c r="H154" s="45"/>
    </row>
    <row r="155" spans="1:8" ht="5.25" customHeight="1" x14ac:dyDescent="0.2">
      <c r="A155" s="18"/>
      <c r="B155" s="223"/>
      <c r="C155" s="47"/>
      <c r="D155" s="215"/>
      <c r="E155" s="52"/>
      <c r="F155" s="221"/>
      <c r="G155" s="45"/>
      <c r="H155" s="45"/>
    </row>
    <row r="156" spans="1:8" x14ac:dyDescent="0.2">
      <c r="A156" s="47"/>
      <c r="B156" s="223"/>
      <c r="C156" s="47"/>
      <c r="D156" s="212" t="s">
        <v>142</v>
      </c>
      <c r="E156" s="48"/>
      <c r="F156" s="225" t="str">
        <f>IF(F150&lt;&gt;0,(1.6-1.1)*(F150*F152),"-")</f>
        <v>-</v>
      </c>
      <c r="G156" s="49"/>
      <c r="H156" s="49"/>
    </row>
    <row r="157" spans="1:8" ht="7.5" customHeight="1" x14ac:dyDescent="0.2">
      <c r="A157" s="47"/>
      <c r="B157" s="223"/>
      <c r="C157" s="47"/>
      <c r="D157" s="48"/>
      <c r="E157" s="48"/>
      <c r="F157" s="221"/>
      <c r="G157" s="53"/>
      <c r="H157" s="54"/>
    </row>
    <row r="158" spans="1:8" x14ac:dyDescent="0.2">
      <c r="A158" s="47"/>
      <c r="B158" s="223"/>
      <c r="C158" s="47"/>
      <c r="D158" s="212" t="s">
        <v>143</v>
      </c>
      <c r="E158" s="48"/>
      <c r="F158" s="253"/>
      <c r="G158" s="53"/>
      <c r="H158" s="54"/>
    </row>
    <row r="159" spans="1:8" ht="6.75" customHeight="1" x14ac:dyDescent="0.2">
      <c r="A159" s="47"/>
      <c r="B159" s="223"/>
      <c r="C159" s="47"/>
      <c r="D159" s="48"/>
      <c r="E159" s="48"/>
      <c r="F159" s="221"/>
      <c r="G159" s="53"/>
      <c r="H159" s="54"/>
    </row>
    <row r="160" spans="1:8" ht="18.75" customHeight="1" x14ac:dyDescent="0.2">
      <c r="A160" s="47"/>
      <c r="B160" s="226"/>
      <c r="C160" s="227"/>
      <c r="D160" s="228" t="s">
        <v>145</v>
      </c>
      <c r="E160" s="229"/>
      <c r="F160" s="230" t="str">
        <f>IF(F158&lt;&gt;"",(F156*F158)/100,"$0.00")</f>
        <v>$0.00</v>
      </c>
      <c r="G160" s="53"/>
      <c r="H160" s="54"/>
    </row>
    <row r="161" spans="1:8" ht="18.75" customHeight="1" x14ac:dyDescent="0.2">
      <c r="A161" s="47"/>
      <c r="B161" s="47"/>
      <c r="C161" s="47"/>
      <c r="D161" s="213"/>
      <c r="E161" s="48"/>
      <c r="F161" s="214"/>
      <c r="G161" s="53"/>
      <c r="H161" s="54"/>
    </row>
    <row r="162" spans="1:8" ht="18.75" customHeight="1" x14ac:dyDescent="0.2">
      <c r="A162" s="47"/>
      <c r="B162" s="47"/>
      <c r="C162" s="47"/>
      <c r="D162" s="213"/>
      <c r="E162" s="48"/>
      <c r="F162" s="214"/>
      <c r="G162" s="53"/>
      <c r="H162" s="54"/>
    </row>
    <row r="163" spans="1:8" x14ac:dyDescent="0.2">
      <c r="A163" s="47"/>
      <c r="B163" s="47"/>
      <c r="C163" s="47"/>
      <c r="D163" s="48"/>
      <c r="E163" s="48"/>
      <c r="F163" s="49"/>
      <c r="G163" s="53"/>
      <c r="H163" s="54"/>
    </row>
    <row r="164" spans="1:8" ht="6.75" customHeight="1" thickBot="1" x14ac:dyDescent="0.25">
      <c r="A164" s="7"/>
      <c r="B164" s="7"/>
      <c r="C164" s="7"/>
      <c r="D164" s="8"/>
      <c r="E164" s="8"/>
      <c r="F164" s="9"/>
      <c r="G164" s="14"/>
      <c r="H164" s="13"/>
    </row>
    <row r="165" spans="1:8" ht="19.5" customHeight="1" thickBot="1" x14ac:dyDescent="0.25">
      <c r="A165" s="234" t="s">
        <v>146</v>
      </c>
      <c r="B165" s="235"/>
      <c r="C165" s="235"/>
      <c r="D165" s="235"/>
      <c r="E165" s="235"/>
      <c r="F165" s="235"/>
      <c r="G165" s="235"/>
      <c r="H165" s="236"/>
    </row>
    <row r="166" spans="1:8" ht="5.25" customHeight="1" x14ac:dyDescent="0.2">
      <c r="A166" s="18"/>
      <c r="B166" s="44"/>
      <c r="C166" s="44"/>
      <c r="D166" s="45"/>
      <c r="E166" s="46"/>
      <c r="F166" s="45"/>
      <c r="G166" s="45"/>
      <c r="H166" s="45"/>
    </row>
    <row r="167" spans="1:8" x14ac:dyDescent="0.2">
      <c r="A167" s="47"/>
      <c r="B167" s="216"/>
      <c r="C167" s="217"/>
      <c r="D167" s="218" t="s">
        <v>149</v>
      </c>
      <c r="E167" s="217"/>
      <c r="F167" s="254"/>
      <c r="G167" s="53"/>
      <c r="H167" s="54"/>
    </row>
    <row r="168" spans="1:8" x14ac:dyDescent="0.2">
      <c r="A168" s="47"/>
      <c r="B168" s="220"/>
      <c r="C168" s="44"/>
      <c r="D168" s="46"/>
      <c r="E168" s="46"/>
      <c r="F168" s="221"/>
      <c r="G168" s="53"/>
      <c r="H168" s="54"/>
    </row>
    <row r="169" spans="1:8" x14ac:dyDescent="0.2">
      <c r="A169" s="47"/>
      <c r="B169" s="222"/>
      <c r="C169" s="47"/>
      <c r="D169" s="211" t="s">
        <v>147</v>
      </c>
      <c r="E169" s="52"/>
      <c r="F169" s="252"/>
      <c r="G169" s="53"/>
      <c r="H169" s="54"/>
    </row>
    <row r="170" spans="1:8" x14ac:dyDescent="0.2">
      <c r="A170" s="47"/>
      <c r="B170" s="223"/>
      <c r="C170" s="47"/>
      <c r="D170" s="215"/>
      <c r="E170" s="52"/>
      <c r="F170" s="221"/>
      <c r="G170" s="53"/>
      <c r="H170" s="54"/>
    </row>
    <row r="171" spans="1:8" x14ac:dyDescent="0.2">
      <c r="A171" s="47"/>
      <c r="B171" s="223"/>
      <c r="C171" s="47"/>
      <c r="D171" s="211" t="s">
        <v>141</v>
      </c>
      <c r="E171" s="52"/>
      <c r="F171" s="224" t="str">
        <f>IF(F169&lt;&gt;"",F169*1.6,"-")</f>
        <v>-</v>
      </c>
      <c r="G171" s="53"/>
      <c r="H171" s="54"/>
    </row>
    <row r="172" spans="1:8" x14ac:dyDescent="0.2">
      <c r="A172" s="47"/>
      <c r="B172" s="223"/>
      <c r="C172" s="47"/>
      <c r="D172" s="215"/>
      <c r="E172" s="52"/>
      <c r="F172" s="221"/>
      <c r="G172" s="53"/>
      <c r="H172" s="54"/>
    </row>
    <row r="173" spans="1:8" x14ac:dyDescent="0.2">
      <c r="A173" s="47"/>
      <c r="B173" s="223"/>
      <c r="C173" s="47"/>
      <c r="D173" s="212" t="s">
        <v>148</v>
      </c>
      <c r="E173" s="48"/>
      <c r="F173" s="225" t="str">
        <f>IF(F167&lt;&gt;0,(1.6-1.1)*(F169)*(F167*0.06),"-")</f>
        <v>-</v>
      </c>
      <c r="G173" s="53"/>
      <c r="H173" s="54"/>
    </row>
    <row r="174" spans="1:8" x14ac:dyDescent="0.2">
      <c r="A174" s="47"/>
      <c r="B174" s="223"/>
      <c r="C174" s="47"/>
      <c r="D174" s="48"/>
      <c r="E174" s="48"/>
      <c r="F174" s="221"/>
      <c r="G174" s="53"/>
      <c r="H174" s="54"/>
    </row>
    <row r="175" spans="1:8" x14ac:dyDescent="0.2">
      <c r="A175" s="47"/>
      <c r="B175" s="223"/>
      <c r="C175" s="47"/>
      <c r="D175" s="212" t="s">
        <v>143</v>
      </c>
      <c r="E175" s="48"/>
      <c r="F175" s="253"/>
      <c r="G175" s="53"/>
      <c r="H175" s="54"/>
    </row>
    <row r="176" spans="1:8" x14ac:dyDescent="0.2">
      <c r="A176" s="47"/>
      <c r="B176" s="223"/>
      <c r="C176" s="47"/>
      <c r="D176" s="48"/>
      <c r="E176" s="48"/>
      <c r="F176" s="221"/>
      <c r="G176" s="53"/>
      <c r="H176" s="54"/>
    </row>
    <row r="177" spans="1:8" x14ac:dyDescent="0.2">
      <c r="A177" s="47"/>
      <c r="B177" s="226"/>
      <c r="C177" s="227"/>
      <c r="D177" s="228" t="s">
        <v>150</v>
      </c>
      <c r="E177" s="229"/>
      <c r="F177" s="230" t="str">
        <f>IF(F175&lt;&gt;"",(F173*F175)/100,"$0.00")</f>
        <v>$0.00</v>
      </c>
      <c r="G177" s="49"/>
      <c r="H177" s="49"/>
    </row>
    <row r="178" spans="1:8" x14ac:dyDescent="0.2">
      <c r="A178" s="47"/>
      <c r="B178" s="47"/>
      <c r="C178" s="47"/>
      <c r="D178" s="48"/>
      <c r="E178" s="48"/>
      <c r="F178" s="49"/>
      <c r="G178" s="49"/>
      <c r="H178" s="49"/>
    </row>
    <row r="179" spans="1:8" x14ac:dyDescent="0.2">
      <c r="A179" s="55"/>
      <c r="B179" s="56"/>
      <c r="C179" s="56"/>
      <c r="D179" s="48"/>
      <c r="E179" s="48"/>
      <c r="F179" s="49"/>
      <c r="G179" s="49"/>
      <c r="H179" s="49"/>
    </row>
    <row r="180" spans="1:8" x14ac:dyDescent="0.2">
      <c r="A180" s="56"/>
      <c r="B180" s="56"/>
      <c r="C180" s="56"/>
      <c r="D180" s="48"/>
      <c r="E180" s="48"/>
      <c r="F180" s="49"/>
      <c r="G180" s="49"/>
      <c r="H180" s="49"/>
    </row>
    <row r="181" spans="1:8" x14ac:dyDescent="0.2">
      <c r="A181" s="56"/>
      <c r="B181" s="56"/>
      <c r="C181" s="56"/>
      <c r="D181" s="48"/>
      <c r="E181" s="48"/>
      <c r="F181" s="49"/>
      <c r="G181" s="49"/>
      <c r="H181" s="49"/>
    </row>
    <row r="182" spans="1:8" x14ac:dyDescent="0.2">
      <c r="A182" s="55"/>
      <c r="B182" s="56"/>
      <c r="C182" s="56"/>
      <c r="D182" s="48"/>
      <c r="E182" s="48"/>
      <c r="F182" s="49"/>
      <c r="G182" s="49"/>
      <c r="H182" s="49"/>
    </row>
    <row r="183" spans="1:8" x14ac:dyDescent="0.2">
      <c r="A183" s="56"/>
      <c r="B183" s="56"/>
      <c r="C183" s="56"/>
      <c r="D183" s="48"/>
      <c r="E183" s="48"/>
      <c r="F183" s="49"/>
      <c r="G183" s="49"/>
      <c r="H183" s="49"/>
    </row>
    <row r="184" spans="1:8" x14ac:dyDescent="0.2">
      <c r="A184" s="56"/>
      <c r="B184" s="56"/>
      <c r="C184" s="56"/>
      <c r="D184" s="48"/>
      <c r="E184" s="48"/>
      <c r="F184" s="49"/>
      <c r="G184" s="49"/>
      <c r="H184" s="49"/>
    </row>
    <row r="185" spans="1:8" x14ac:dyDescent="0.2">
      <c r="A185" s="55"/>
      <c r="B185" s="56"/>
      <c r="C185" s="56"/>
      <c r="D185" s="48"/>
      <c r="E185" s="48"/>
      <c r="F185" s="49"/>
      <c r="G185" s="49"/>
      <c r="H185" s="49"/>
    </row>
  </sheetData>
  <dataConsolidate/>
  <mergeCells count="25">
    <mergeCell ref="C146:C147"/>
    <mergeCell ref="A141:B141"/>
    <mergeCell ref="A131:H131"/>
    <mergeCell ref="B136:F136"/>
    <mergeCell ref="A143:B143"/>
    <mergeCell ref="A67:H67"/>
    <mergeCell ref="B72:F72"/>
    <mergeCell ref="A51:G51"/>
    <mergeCell ref="C125:C127"/>
    <mergeCell ref="A121:B121"/>
    <mergeCell ref="C78:C87"/>
    <mergeCell ref="C89:C97"/>
    <mergeCell ref="C102:C106"/>
    <mergeCell ref="C99:C100"/>
    <mergeCell ref="C108:C110"/>
    <mergeCell ref="C112:C113"/>
    <mergeCell ref="C115:C117"/>
    <mergeCell ref="C119:C120"/>
    <mergeCell ref="C122:C123"/>
    <mergeCell ref="A1:H1"/>
    <mergeCell ref="B6:F6"/>
    <mergeCell ref="A10:H10"/>
    <mergeCell ref="A30:H30"/>
    <mergeCell ref="A43:H43"/>
    <mergeCell ref="A38:G38"/>
  </mergeCells>
  <dataValidations xWindow="97" yWindow="413" count="14">
    <dataValidation type="list" showInputMessage="1" showErrorMessage="1" error="Please use drop-down menu to select a schedule letter" promptTitle="Choose Letter" prompt="If you need more than six schedules, then copy addtional sheet tabs and calculate incentives separately for each schedule._x000a__x000a_Sheets tabs can be copied by left clicking the acitve tab and choosing 'Move or Copy', then clicking the 'Create Copy' checkbox." sqref="H6">
      <formula1>"  , A, B, C, D, E, F, G, W, X, Y, Z"</formula1>
    </dataValidation>
    <dataValidation type="list" allowBlank="1" showInputMessage="1" showErrorMessage="1" error="Please use the drop-down menu to select the project units" promptTitle="Select Units" prompt="Select Metric or US Customary" sqref="H8">
      <formula1>"METRIC, US CUSTOMARY"</formula1>
    </dataValidation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36 D128:D130">
      <formula1>0</formula1>
    </dataValidation>
    <dataValidation type="list" allowBlank="1" showInputMessage="1" showErrorMessage="1" error="Please use the drop-down menu to select the FP version" promptTitle="Select FP Version" prompt="Select FP-03 or FP-14" sqref="D2">
      <formula1>" , FP-03, FP-14"</formula1>
    </dataValidation>
    <dataValidation allowBlank="1" showInputMessage="1" showErrorMessage="1" promptTitle="Enter project number" prompt="Example:  CA FTNP JOTR 11(5)" sqref="B4:C4"/>
    <dataValidation allowBlank="1" showInputMessage="1" showErrorMessage="1" promptTitle="Enter project name" prompt="Example:  Pinto Basin Road" sqref="B6:F6"/>
    <dataValidation allowBlank="1" sqref="B70:C70 B134:C134"/>
    <dataValidation allowBlank="1" showErrorMessage="1" sqref="B81"/>
    <dataValidation type="whole" operator="greaterThanOrEqual" allowBlank="1" showInputMessage="1" showErrorMessage="1" error="Bid decimals set to zero._x000a__x000a_Contact Heidi Hirsbrunner (X3622)_x000a_                _x000a_to modify Incentive Spreadsheet." sqref="D13 D15 D17 D19 D21 D23 D25 D27 D33 D35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78:D87 D102:D106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89:D97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99:D100">
      <formula1>0</formula1>
    </dataValidation>
    <dataValidation type="whole" operator="greaterThanOrEqual" allowBlank="1" showInputMessage="1" showErrorMessage="1" error="Bid decimals set to zero._x000a__x000a_Contact Heidi Hirsbrunner (X3622)_x000a__x000a_to modify Incentive Spreadsheet." sqref="D108:D110 D112:D113 D115:D117 D119:D120 D122:D123 D125:D127 D142 D144 D146:D147">
      <formula1>0</formula1>
    </dataValidation>
    <dataValidation type="list" allowBlank="1" showInputMessage="1" showErrorMessage="1" promptTitle="Select Schedule Type " prompt="Select Schedule or Option " sqref="G6">
      <formula1>", Schedule: , Option: "</formula1>
    </dataValidation>
  </dataValidations>
  <printOptions horizontalCentered="1"/>
  <pageMargins left="0.7" right="0.7" top="0.25" bottom="0.75" header="0.3" footer="0.3"/>
  <pageSetup scale="81" fitToHeight="2" orientation="portrait" r:id="rId1"/>
  <headerFooter>
    <oddFooter>&amp;RRev. 02-08-2019</oddFooter>
  </headerFooter>
  <rowBreaks count="1" manualBreakCount="1">
    <brk id="66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185"/>
  <sheetViews>
    <sheetView zoomScaleNormal="100"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8" customWidth="1"/>
    <col min="5" max="5" width="1.7109375" style="38" customWidth="1"/>
    <col min="6" max="6" width="12.42578125" style="39" customWidth="1"/>
    <col min="7" max="7" width="14.42578125" style="39" customWidth="1"/>
    <col min="8" max="8" width="16.7109375" style="39" bestFit="1" customWidth="1"/>
    <col min="9" max="16384" width="9.140625" style="6"/>
  </cols>
  <sheetData>
    <row r="1" spans="1:8" ht="18" x14ac:dyDescent="0.25">
      <c r="A1" s="298" t="s">
        <v>26</v>
      </c>
      <c r="B1" s="298"/>
      <c r="C1" s="298"/>
      <c r="D1" s="298"/>
      <c r="E1" s="298"/>
      <c r="F1" s="298"/>
      <c r="G1" s="298"/>
      <c r="H1" s="298"/>
    </row>
    <row r="2" spans="1:8" x14ac:dyDescent="0.2">
      <c r="A2" s="7"/>
      <c r="B2" s="7"/>
      <c r="C2" s="11" t="s">
        <v>24</v>
      </c>
      <c r="D2" s="43" t="s">
        <v>27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42" t="s">
        <v>154</v>
      </c>
      <c r="C4" s="42"/>
      <c r="D4" s="12"/>
      <c r="E4" s="12"/>
      <c r="F4" s="13"/>
      <c r="G4" s="14" t="s">
        <v>5</v>
      </c>
      <c r="H4" s="15">
        <f ca="1" xml:space="preserve"> TODAY()</f>
        <v>43503</v>
      </c>
    </row>
    <row r="5" spans="1:8" ht="6" customHeight="1" x14ac:dyDescent="0.2">
      <c r="A5" s="11"/>
      <c r="B5" s="297"/>
      <c r="C5" s="297"/>
      <c r="D5" s="12"/>
      <c r="E5" s="12"/>
      <c r="F5" s="13"/>
      <c r="G5" s="14"/>
      <c r="H5" s="15"/>
    </row>
    <row r="6" spans="1:8" x14ac:dyDescent="0.2">
      <c r="A6" s="11" t="s">
        <v>4</v>
      </c>
      <c r="B6" s="299" t="s">
        <v>175</v>
      </c>
      <c r="C6" s="299"/>
      <c r="D6" s="299"/>
      <c r="E6" s="299"/>
      <c r="F6" s="299"/>
      <c r="G6" s="257" t="s">
        <v>153</v>
      </c>
      <c r="H6" s="1" t="s">
        <v>176</v>
      </c>
    </row>
    <row r="7" spans="1:8" ht="6" customHeight="1" x14ac:dyDescent="0.2">
      <c r="A7" s="11"/>
      <c r="B7" s="297"/>
      <c r="C7" s="297"/>
      <c r="D7" s="297"/>
      <c r="E7" s="297"/>
      <c r="F7" s="297"/>
      <c r="G7" s="14"/>
      <c r="H7" s="17"/>
    </row>
    <row r="8" spans="1:8" x14ac:dyDescent="0.2">
      <c r="A8" s="7"/>
      <c r="B8" s="7"/>
      <c r="C8" s="7"/>
      <c r="D8" s="8"/>
      <c r="E8" s="8"/>
      <c r="F8" s="9"/>
      <c r="G8" s="14" t="s">
        <v>8</v>
      </c>
      <c r="H8" s="2" t="s">
        <v>177</v>
      </c>
    </row>
    <row r="9" spans="1:8" ht="13.5" thickBot="1" x14ac:dyDescent="0.25">
      <c r="A9" s="7"/>
      <c r="B9" s="7"/>
      <c r="C9" s="7"/>
      <c r="D9" s="8"/>
      <c r="E9" s="8"/>
      <c r="F9" s="9"/>
      <c r="G9" s="14"/>
      <c r="H9" s="13"/>
    </row>
    <row r="10" spans="1:8" ht="18.75" thickBot="1" x14ac:dyDescent="0.25">
      <c r="A10" s="300" t="s">
        <v>15</v>
      </c>
      <c r="B10" s="300"/>
      <c r="C10" s="300"/>
      <c r="D10" s="300"/>
      <c r="E10" s="300"/>
      <c r="F10" s="300"/>
      <c r="G10" s="300"/>
      <c r="H10" s="300"/>
    </row>
    <row r="11" spans="1:8" x14ac:dyDescent="0.2">
      <c r="A11" s="18" t="s">
        <v>13</v>
      </c>
      <c r="B11" s="18"/>
      <c r="C11" s="18"/>
      <c r="D11" s="18" t="s">
        <v>11</v>
      </c>
      <c r="E11" s="18"/>
      <c r="F11" s="18"/>
      <c r="G11" s="18"/>
      <c r="H11" s="18"/>
    </row>
    <row r="12" spans="1:8" ht="13.5" thickBot="1" x14ac:dyDescent="0.25">
      <c r="A12" s="19" t="s">
        <v>14</v>
      </c>
      <c r="B12" s="20" t="s">
        <v>7</v>
      </c>
      <c r="C12" s="20"/>
      <c r="D12" s="21" t="str">
        <f>IF(Units="US CUSTOMARY"," (Ton or SY)"," (tonnes or m2)")</f>
        <v xml:space="preserve"> (Ton or SY)</v>
      </c>
      <c r="E12" s="22"/>
      <c r="F12" s="21" t="s">
        <v>0</v>
      </c>
      <c r="G12" s="21" t="str">
        <f>"Q_"&amp;IF(Units="US CUSTOMARY","Ton","t")&amp;" Unit Price"</f>
        <v>Q_Ton Unit Price</v>
      </c>
      <c r="H12" s="21" t="s">
        <v>1</v>
      </c>
    </row>
    <row r="13" spans="1:8" ht="13.5" thickTop="1" x14ac:dyDescent="0.2">
      <c r="A13" s="23" t="str">
        <f>IF(FP="FP-03","301","301")</f>
        <v>301</v>
      </c>
      <c r="B13" s="24" t="str">
        <f>IF(FP="FP-03","Untreated Aggregate Courses","Untreated Aggregate Courses")</f>
        <v>Untreated Aggregate Courses</v>
      </c>
      <c r="C13" s="24"/>
      <c r="D13" s="3"/>
      <c r="E13" s="247"/>
      <c r="F13" s="4"/>
      <c r="G13" s="26" t="str">
        <f>IF(ISNUMBER(F13),ROUND(F13*0.05,2),"-")</f>
        <v>-</v>
      </c>
      <c r="H13" s="26" t="str">
        <f>IF(AND(ISNUMBER(D13),ISNUMBER(F13)),D13*G13,"-")</f>
        <v>-</v>
      </c>
    </row>
    <row r="14" spans="1:8" ht="6" customHeight="1" x14ac:dyDescent="0.2">
      <c r="A14" s="23"/>
      <c r="B14" s="24"/>
      <c r="C14" s="24"/>
      <c r="D14" s="247"/>
      <c r="E14" s="247"/>
      <c r="F14" s="248"/>
      <c r="G14" s="26"/>
      <c r="H14" s="26"/>
    </row>
    <row r="15" spans="1:8" x14ac:dyDescent="0.2">
      <c r="A15" s="23" t="str">
        <f>IF(FP="FP-03","302","309")</f>
        <v>309</v>
      </c>
      <c r="B15" s="24" t="str">
        <f>IF(FP="FP-03","Treated Aggregate Courses","Emulsified Asphalt-Treated Base Course")</f>
        <v>Emulsified Asphalt-Treated Base Course</v>
      </c>
      <c r="C15" s="24"/>
      <c r="D15" s="3"/>
      <c r="E15" s="247"/>
      <c r="F15" s="4"/>
      <c r="G15" s="26" t="str">
        <f>IF(ISNUMBER(F15),ROUND(F15*0.05,2),"-")</f>
        <v>-</v>
      </c>
      <c r="H15" s="26" t="str">
        <f>IF(AND(ISNUMBER(D15),ISNUMBER(F15)),D15*G15,"-")</f>
        <v>-</v>
      </c>
    </row>
    <row r="16" spans="1:8" ht="6" customHeight="1" x14ac:dyDescent="0.2">
      <c r="A16" s="23"/>
      <c r="B16" s="24"/>
      <c r="C16" s="24"/>
      <c r="D16" s="247"/>
      <c r="E16" s="247"/>
      <c r="F16" s="248"/>
      <c r="G16" s="26"/>
      <c r="H16" s="26"/>
    </row>
    <row r="17" spans="1:11" x14ac:dyDescent="0.2">
      <c r="A17" s="23" t="str">
        <f>IF(FP="FP-03","304","311")</f>
        <v>311</v>
      </c>
      <c r="B17" s="24" t="str">
        <f>IF(FP="FP-03","Aggregate Stabiliation","Stabilized Aggregate Surface Course")</f>
        <v>Stabilized Aggregate Surface Course</v>
      </c>
      <c r="C17" s="24"/>
      <c r="D17" s="3"/>
      <c r="E17" s="247"/>
      <c r="F17" s="4"/>
      <c r="G17" s="26" t="str">
        <f t="shared" ref="G17:G23" si="0">IF(ISNUMBER(F17),ROUND(F17*0.05,2),"-")</f>
        <v>-</v>
      </c>
      <c r="H17" s="26" t="str">
        <f>IF(AND(ISNUMBER(D17),ISNUMBER(F17)),D17*G17,"-")</f>
        <v>-</v>
      </c>
    </row>
    <row r="18" spans="1:11" ht="6" customHeight="1" x14ac:dyDescent="0.2">
      <c r="A18" s="23"/>
      <c r="B18" s="24"/>
      <c r="C18" s="24"/>
      <c r="D18" s="247"/>
      <c r="E18" s="247"/>
      <c r="F18" s="248"/>
      <c r="G18" s="26"/>
      <c r="H18" s="26"/>
    </row>
    <row r="19" spans="1:11" x14ac:dyDescent="0.2">
      <c r="A19" s="23" t="str">
        <f>IF(FP="FP-03","309","405")</f>
        <v>405</v>
      </c>
      <c r="B19" s="24" t="str">
        <f>IF(FP="FP-03","Emulsified ATB Course","Open-Graded Asphalt Friction Course")</f>
        <v>Open-Graded Asphalt Friction Course</v>
      </c>
      <c r="C19" s="24"/>
      <c r="D19" s="3"/>
      <c r="E19" s="247"/>
      <c r="F19" s="4"/>
      <c r="G19" s="26" t="str">
        <f t="shared" si="0"/>
        <v>-</v>
      </c>
      <c r="H19" s="26" t="str">
        <f>IF(AND(ISNUMBER(D19),ISNUMBER(F19)),D19*G19,"-")</f>
        <v>-</v>
      </c>
    </row>
    <row r="20" spans="1:11" ht="6" customHeight="1" x14ac:dyDescent="0.2">
      <c r="A20" s="23"/>
      <c r="B20" s="24"/>
      <c r="C20" s="24"/>
      <c r="D20" s="247"/>
      <c r="E20" s="247"/>
      <c r="F20" s="248"/>
      <c r="G20" s="26"/>
      <c r="H20" s="26"/>
    </row>
    <row r="21" spans="1:11" x14ac:dyDescent="0.2">
      <c r="A21" s="23" t="str">
        <f>IF(FP="FP-03","405","407")</f>
        <v>407</v>
      </c>
      <c r="B21" s="24" t="str">
        <f>IF(FP="FP-03","Open-Graded Asphalt Friction Course","Chip Seal")</f>
        <v>Chip Seal</v>
      </c>
      <c r="C21" s="24"/>
      <c r="D21" s="3"/>
      <c r="E21" s="247"/>
      <c r="F21" s="4"/>
      <c r="G21" s="26" t="str">
        <f t="shared" si="0"/>
        <v>-</v>
      </c>
      <c r="H21" s="26" t="str">
        <f>IF(AND(ISNUMBER(D21),ISNUMBER(F21)),D21*G21,"-")</f>
        <v>-</v>
      </c>
    </row>
    <row r="22" spans="1:11" ht="6" customHeight="1" x14ac:dyDescent="0.2">
      <c r="A22" s="23"/>
      <c r="B22" s="24"/>
      <c r="C22" s="24"/>
      <c r="D22" s="247"/>
      <c r="E22" s="247"/>
      <c r="F22" s="248"/>
      <c r="G22" s="26"/>
      <c r="H22" s="26"/>
    </row>
    <row r="23" spans="1:11" x14ac:dyDescent="0.2">
      <c r="A23" s="23" t="str">
        <f>IF(FP="FP-03","409","-")</f>
        <v>-</v>
      </c>
      <c r="B23" s="24" t="str">
        <f>IF(FP="FP-03","Asphalt Surface Treatment","                         -")</f>
        <v xml:space="preserve">                         -</v>
      </c>
      <c r="C23" s="24"/>
      <c r="D23" s="3"/>
      <c r="E23" s="247"/>
      <c r="F23" s="4"/>
      <c r="G23" s="26" t="str">
        <f t="shared" si="0"/>
        <v>-</v>
      </c>
      <c r="H23" s="26" t="str">
        <f>IF(AND(ISNUMBER(D23),ISNUMBER(F23)),D23*G23,"-")</f>
        <v>-</v>
      </c>
    </row>
    <row r="24" spans="1:11" ht="6" customHeight="1" x14ac:dyDescent="0.2">
      <c r="A24" s="23"/>
      <c r="B24" s="24"/>
      <c r="C24" s="24"/>
      <c r="D24" s="247"/>
      <c r="E24" s="247"/>
      <c r="F24" s="248"/>
      <c r="G24" s="26"/>
      <c r="H24" s="26"/>
    </row>
    <row r="25" spans="1:11" x14ac:dyDescent="0.2">
      <c r="A25" s="23"/>
      <c r="B25" s="24"/>
      <c r="C25" s="24"/>
      <c r="D25" s="247"/>
      <c r="E25" s="247"/>
      <c r="F25" s="248"/>
      <c r="G25" s="26"/>
      <c r="H25" s="26"/>
    </row>
    <row r="26" spans="1:11" ht="6" customHeight="1" x14ac:dyDescent="0.2">
      <c r="A26" s="23"/>
      <c r="B26" s="24"/>
      <c r="C26" s="24"/>
      <c r="D26" s="247"/>
      <c r="E26" s="247"/>
      <c r="F26" s="248"/>
      <c r="G26" s="26"/>
      <c r="H26" s="26"/>
    </row>
    <row r="27" spans="1:11" x14ac:dyDescent="0.2">
      <c r="A27" s="23"/>
      <c r="B27" s="24"/>
      <c r="C27" s="24"/>
      <c r="D27" s="247"/>
      <c r="E27" s="247"/>
      <c r="F27" s="248"/>
      <c r="G27" s="26"/>
      <c r="H27" s="26"/>
    </row>
    <row r="28" spans="1:11" x14ac:dyDescent="0.2">
      <c r="A28" s="23"/>
      <c r="B28" s="24"/>
      <c r="C28" s="24"/>
      <c r="D28" s="25"/>
      <c r="E28" s="25"/>
      <c r="F28" s="27"/>
      <c r="G28" s="26"/>
      <c r="H28" s="26"/>
    </row>
    <row r="29" spans="1:11" ht="13.5" thickBot="1" x14ac:dyDescent="0.25">
      <c r="A29" s="7"/>
      <c r="B29" s="7"/>
      <c r="C29" s="7"/>
      <c r="D29" s="8"/>
      <c r="E29" s="8"/>
      <c r="F29" s="9"/>
      <c r="G29" s="9"/>
      <c r="H29" s="9"/>
    </row>
    <row r="30" spans="1:11" ht="18.75" thickBot="1" x14ac:dyDescent="0.25">
      <c r="A30" s="300" t="s">
        <v>16</v>
      </c>
      <c r="B30" s="300"/>
      <c r="C30" s="300"/>
      <c r="D30" s="300"/>
      <c r="E30" s="300"/>
      <c r="F30" s="300"/>
      <c r="G30" s="300"/>
      <c r="H30" s="300"/>
      <c r="K30" s="28"/>
    </row>
    <row r="31" spans="1:11" x14ac:dyDescent="0.2">
      <c r="A31" s="29" t="s">
        <v>13</v>
      </c>
      <c r="B31" s="29"/>
      <c r="C31" s="18"/>
      <c r="D31" s="18" t="s">
        <v>11</v>
      </c>
      <c r="E31" s="29"/>
      <c r="F31" s="29"/>
      <c r="G31" s="29"/>
      <c r="H31" s="29"/>
      <c r="K31" s="28"/>
    </row>
    <row r="32" spans="1:11" ht="13.5" thickBot="1" x14ac:dyDescent="0.25">
      <c r="A32" s="19" t="s">
        <v>14</v>
      </c>
      <c r="B32" s="20" t="s">
        <v>7</v>
      </c>
      <c r="C32" s="20"/>
      <c r="D32" s="21" t="str">
        <f>IF(Units="US CUSTOMARY"," (Ton or SY)"," (tonnes or m2)")</f>
        <v xml:space="preserve"> (Ton or SY)</v>
      </c>
      <c r="E32" s="22"/>
      <c r="F32" s="21" t="s">
        <v>0</v>
      </c>
      <c r="G32" s="21" t="str">
        <f>"Q_"&amp;IF(Units="US CUSTOMARY","Ton","t")&amp;" Unit Price"</f>
        <v>Q_Ton Unit Price</v>
      </c>
      <c r="H32" s="21" t="s">
        <v>1</v>
      </c>
    </row>
    <row r="33" spans="1:8" ht="13.5" thickTop="1" x14ac:dyDescent="0.2">
      <c r="A33" s="23">
        <v>401</v>
      </c>
      <c r="B33" s="24" t="s">
        <v>2</v>
      </c>
      <c r="C33" s="24"/>
      <c r="D33" s="3"/>
      <c r="E33" s="247"/>
      <c r="F33" s="4"/>
      <c r="G33" s="26" t="str">
        <f>IF(ISNUMBER(F33),ROUND(F33*0.06,2),"-")</f>
        <v>-</v>
      </c>
      <c r="H33" s="26" t="str">
        <f>IF(AND(ISNUMBER(D33),ISNUMBER(F33)),D33*G33,"-")</f>
        <v>-</v>
      </c>
    </row>
    <row r="34" spans="1:8" ht="6" customHeight="1" x14ac:dyDescent="0.2">
      <c r="A34" s="23"/>
      <c r="B34" s="24"/>
      <c r="C34" s="24"/>
      <c r="D34" s="247"/>
      <c r="E34" s="247"/>
      <c r="F34" s="248"/>
      <c r="G34" s="26"/>
      <c r="H34" s="26"/>
    </row>
    <row r="35" spans="1:8" x14ac:dyDescent="0.2">
      <c r="A35" s="23">
        <v>402</v>
      </c>
      <c r="B35" s="24" t="str">
        <f>IF(FP="FP-03","Hot ACP By Hveem or Marshall Mix Design","ACP By Hveem or Marshall Mix Design")</f>
        <v>ACP By Hveem or Marshall Mix Design</v>
      </c>
      <c r="C35" s="24"/>
      <c r="D35" s="3"/>
      <c r="E35" s="247"/>
      <c r="F35" s="4"/>
      <c r="G35" s="26" t="str">
        <f>IF(ISNUMBER(F35),ROUND(F35*0.06,2),"-")</f>
        <v>-</v>
      </c>
      <c r="H35" s="26" t="str">
        <f>IF(AND(ISNUMBER(D35),ISNUMBER(F35)),D35*G35,"-")</f>
        <v>-</v>
      </c>
    </row>
    <row r="36" spans="1:8" x14ac:dyDescent="0.2">
      <c r="A36" s="23"/>
      <c r="B36" s="24"/>
      <c r="C36" s="24"/>
      <c r="D36" s="25"/>
      <c r="E36" s="25"/>
      <c r="F36" s="27"/>
      <c r="G36" s="26"/>
      <c r="H36" s="26"/>
    </row>
    <row r="37" spans="1:8" x14ac:dyDescent="0.2">
      <c r="A37" s="7"/>
      <c r="B37" s="7"/>
      <c r="C37" s="7"/>
      <c r="D37" s="8"/>
      <c r="E37" s="8"/>
      <c r="F37" s="9"/>
      <c r="G37" s="9"/>
      <c r="H37" s="9"/>
    </row>
    <row r="38" spans="1:8" s="31" customFormat="1" x14ac:dyDescent="0.2">
      <c r="A38" s="302" t="s">
        <v>9</v>
      </c>
      <c r="B38" s="302"/>
      <c r="C38" s="302"/>
      <c r="D38" s="302"/>
      <c r="E38" s="302"/>
      <c r="F38" s="302"/>
      <c r="G38" s="302"/>
      <c r="H38" s="30">
        <f>SUM(H13,H15,H17,H19,H21,H23,H25,H27,H33,H35)</f>
        <v>0</v>
      </c>
    </row>
    <row r="39" spans="1:8" x14ac:dyDescent="0.2">
      <c r="A39" s="32"/>
      <c r="B39" s="32"/>
      <c r="C39" s="32"/>
      <c r="D39" s="32"/>
      <c r="E39" s="32"/>
      <c r="F39" s="32"/>
      <c r="G39" s="32"/>
      <c r="H39" s="33"/>
    </row>
    <row r="40" spans="1:8" x14ac:dyDescent="0.2">
      <c r="A40" s="32"/>
      <c r="B40" s="32"/>
      <c r="C40" s="32"/>
      <c r="D40" s="32"/>
      <c r="E40" s="32"/>
      <c r="F40" s="32"/>
      <c r="G40" s="32"/>
      <c r="H40" s="33"/>
    </row>
    <row r="41" spans="1:8" x14ac:dyDescent="0.2">
      <c r="A41" s="32"/>
      <c r="B41" s="32"/>
      <c r="C41" s="32"/>
      <c r="D41" s="32"/>
      <c r="E41" s="32"/>
      <c r="F41" s="32"/>
      <c r="G41" s="32"/>
      <c r="H41" s="33"/>
    </row>
    <row r="42" spans="1:8" ht="13.5" thickBot="1" x14ac:dyDescent="0.25">
      <c r="A42" s="7"/>
      <c r="B42" s="7"/>
      <c r="C42" s="7"/>
      <c r="D42" s="8"/>
      <c r="E42" s="8"/>
      <c r="F42" s="9"/>
      <c r="G42" s="9"/>
      <c r="H42" s="9"/>
    </row>
    <row r="43" spans="1:8" ht="18.75" thickBot="1" x14ac:dyDescent="0.25">
      <c r="A43" s="301" t="s">
        <v>17</v>
      </c>
      <c r="B43" s="301"/>
      <c r="C43" s="301"/>
      <c r="D43" s="301"/>
      <c r="E43" s="301"/>
      <c r="F43" s="301"/>
      <c r="G43" s="301"/>
      <c r="H43" s="301"/>
    </row>
    <row r="44" spans="1:8" x14ac:dyDescent="0.2">
      <c r="A44" s="29" t="s">
        <v>13</v>
      </c>
      <c r="B44" s="29"/>
      <c r="C44" s="29"/>
      <c r="D44" s="29" t="s">
        <v>12</v>
      </c>
      <c r="E44" s="29"/>
      <c r="F44" s="29"/>
      <c r="G44" s="29"/>
      <c r="H44" s="29"/>
    </row>
    <row r="45" spans="1:8" ht="13.5" thickBot="1" x14ac:dyDescent="0.25">
      <c r="A45" s="19" t="s">
        <v>14</v>
      </c>
      <c r="B45" s="20" t="s">
        <v>7</v>
      </c>
      <c r="C45" s="20"/>
      <c r="D45" s="22" t="str">
        <f>"Lane-"&amp;IF(Units="US CUSTOMARY","miles","kilometers")</f>
        <v>Lane-miles</v>
      </c>
      <c r="E45" s="22"/>
      <c r="F45" s="21"/>
      <c r="G45" s="21"/>
      <c r="H45" s="21" t="s">
        <v>1</v>
      </c>
    </row>
    <row r="46" spans="1:8" ht="13.5" thickTop="1" x14ac:dyDescent="0.2">
      <c r="A46" s="23">
        <v>401</v>
      </c>
      <c r="B46" s="7" t="s">
        <v>2</v>
      </c>
      <c r="C46" s="7"/>
      <c r="D46" s="5"/>
      <c r="E46" s="34"/>
      <c r="F46" s="26"/>
      <c r="G46" s="26"/>
      <c r="H46" s="26" t="str">
        <f>IF(ISNUMBER(D46),(IF(Units="US CUSTOMARY",80000,49600)*(1.05-1)*D46),"-")</f>
        <v>-</v>
      </c>
    </row>
    <row r="47" spans="1:8" ht="6" customHeight="1" x14ac:dyDescent="0.2">
      <c r="A47" s="23"/>
      <c r="B47" s="7"/>
      <c r="C47" s="7"/>
      <c r="D47" s="249"/>
      <c r="E47" s="34"/>
      <c r="F47" s="26"/>
      <c r="G47" s="26"/>
      <c r="H47" s="26"/>
    </row>
    <row r="48" spans="1:8" x14ac:dyDescent="0.2">
      <c r="A48" s="23">
        <v>402</v>
      </c>
      <c r="B48" s="7" t="str">
        <f>IF(FP="FP-03","Hot ACP By Hveem or Marshall Mix Design","ACP By Hveem or Marshall Mix Design")</f>
        <v>ACP By Hveem or Marshall Mix Design</v>
      </c>
      <c r="C48" s="7"/>
      <c r="D48" s="5"/>
      <c r="E48" s="34"/>
      <c r="F48" s="26"/>
      <c r="G48" s="26"/>
      <c r="H48" s="26" t="str">
        <f>IF(ISNUMBER(D48),(IF(Units="US CUSTOMARY",80000,49600)*(1.05-1)*D48),"-")</f>
        <v>-</v>
      </c>
    </row>
    <row r="49" spans="1:8" x14ac:dyDescent="0.2">
      <c r="A49" s="23"/>
      <c r="B49" s="7"/>
      <c r="C49" s="7"/>
      <c r="D49" s="34"/>
      <c r="E49" s="34"/>
      <c r="F49" s="26"/>
      <c r="G49" s="26"/>
      <c r="H49" s="26"/>
    </row>
    <row r="50" spans="1:8" x14ac:dyDescent="0.2">
      <c r="A50" s="7"/>
      <c r="B50" s="7"/>
      <c r="C50" s="7"/>
      <c r="D50" s="8"/>
      <c r="E50" s="8"/>
      <c r="F50" s="9"/>
      <c r="G50" s="9"/>
      <c r="H50" s="9"/>
    </row>
    <row r="51" spans="1:8" x14ac:dyDescent="0.2">
      <c r="A51" s="302" t="s">
        <v>10</v>
      </c>
      <c r="B51" s="302"/>
      <c r="C51" s="302"/>
      <c r="D51" s="302"/>
      <c r="E51" s="302"/>
      <c r="F51" s="302"/>
      <c r="G51" s="302"/>
      <c r="H51" s="35">
        <f>SUM(H46,H48)</f>
        <v>0</v>
      </c>
    </row>
    <row r="52" spans="1:8" x14ac:dyDescent="0.2">
      <c r="A52" s="7"/>
      <c r="B52" s="7"/>
      <c r="C52" s="7"/>
      <c r="D52" s="8"/>
      <c r="E52" s="8"/>
      <c r="F52" s="9"/>
      <c r="G52" s="36"/>
      <c r="H52" s="37"/>
    </row>
    <row r="53" spans="1:8" x14ac:dyDescent="0.2">
      <c r="A53" s="7"/>
      <c r="B53" s="7"/>
      <c r="C53" s="7"/>
      <c r="D53" s="8"/>
      <c r="E53" s="8"/>
      <c r="F53" s="9"/>
      <c r="G53" s="36"/>
      <c r="H53" s="37"/>
    </row>
    <row r="54" spans="1:8" x14ac:dyDescent="0.2">
      <c r="A54" s="7"/>
      <c r="B54" s="7"/>
      <c r="C54" s="7"/>
      <c r="D54" s="8"/>
      <c r="E54" s="8"/>
      <c r="F54" s="9"/>
      <c r="G54" s="36"/>
      <c r="H54" s="37"/>
    </row>
    <row r="55" spans="1:8" x14ac:dyDescent="0.2">
      <c r="A55" s="7"/>
      <c r="B55" s="7"/>
      <c r="C55" s="7"/>
      <c r="D55" s="8"/>
      <c r="E55" s="8"/>
      <c r="F55" s="9"/>
      <c r="G55" s="36"/>
      <c r="H55" s="37"/>
    </row>
    <row r="56" spans="1:8" x14ac:dyDescent="0.2">
      <c r="A56" s="7"/>
      <c r="B56" s="7"/>
      <c r="C56" s="7"/>
      <c r="D56" s="8"/>
      <c r="E56" s="8"/>
      <c r="F56" s="9"/>
      <c r="G56" s="36"/>
      <c r="H56" s="37"/>
    </row>
    <row r="57" spans="1:8" x14ac:dyDescent="0.2">
      <c r="A57" s="7"/>
      <c r="B57" s="7"/>
      <c r="C57" s="7"/>
      <c r="D57" s="8"/>
      <c r="E57" s="8"/>
      <c r="F57" s="9"/>
      <c r="G57" s="36"/>
      <c r="H57" s="37"/>
    </row>
    <row r="58" spans="1:8" x14ac:dyDescent="0.2">
      <c r="A58" s="7"/>
      <c r="B58" s="7"/>
      <c r="C58" s="7"/>
      <c r="D58" s="8"/>
      <c r="E58" s="8"/>
      <c r="F58" s="9"/>
      <c r="G58" s="9"/>
      <c r="H58" s="9"/>
    </row>
    <row r="59" spans="1:8" x14ac:dyDescent="0.2">
      <c r="A59" s="7"/>
      <c r="B59" s="7"/>
      <c r="C59" s="7"/>
      <c r="D59" s="8"/>
      <c r="E59" s="8"/>
      <c r="F59" s="9"/>
      <c r="G59" s="9"/>
      <c r="H59" s="9"/>
    </row>
    <row r="60" spans="1:8" x14ac:dyDescent="0.2">
      <c r="A60" s="40" t="s">
        <v>18</v>
      </c>
      <c r="B60" s="41" t="s">
        <v>19</v>
      </c>
      <c r="C60" s="41"/>
      <c r="D60" s="8"/>
      <c r="E60" s="8"/>
      <c r="F60" s="9"/>
      <c r="G60" s="9"/>
      <c r="H60" s="9"/>
    </row>
    <row r="61" spans="1:8" x14ac:dyDescent="0.2">
      <c r="A61" s="41"/>
      <c r="B61" s="41" t="s">
        <v>20</v>
      </c>
      <c r="C61" s="41"/>
      <c r="D61" s="8"/>
      <c r="E61" s="8"/>
      <c r="F61" s="9"/>
      <c r="G61" s="9"/>
      <c r="H61" s="9"/>
    </row>
    <row r="62" spans="1:8" x14ac:dyDescent="0.2">
      <c r="A62" s="41"/>
      <c r="B62" s="41"/>
      <c r="C62" s="41"/>
      <c r="D62" s="8"/>
      <c r="E62" s="8"/>
      <c r="F62" s="9"/>
      <c r="G62" s="9"/>
      <c r="H62" s="9"/>
    </row>
    <row r="63" spans="1:8" x14ac:dyDescent="0.2">
      <c r="A63" s="40" t="s">
        <v>21</v>
      </c>
      <c r="B63" s="41" t="s">
        <v>22</v>
      </c>
      <c r="C63" s="41"/>
      <c r="D63" s="8"/>
      <c r="E63" s="8"/>
      <c r="F63" s="9"/>
      <c r="G63" s="9"/>
      <c r="H63" s="9"/>
    </row>
    <row r="64" spans="1:8" x14ac:dyDescent="0.2">
      <c r="A64" s="41"/>
      <c r="B64" s="41" t="s">
        <v>20</v>
      </c>
      <c r="C64" s="41"/>
      <c r="D64" s="8"/>
      <c r="E64" s="8"/>
      <c r="F64" s="9"/>
      <c r="G64" s="9"/>
      <c r="H64" s="9"/>
    </row>
    <row r="65" spans="1:8" x14ac:dyDescent="0.2">
      <c r="A65" s="41"/>
      <c r="B65" s="41"/>
      <c r="C65" s="41"/>
      <c r="D65" s="8"/>
      <c r="E65" s="8"/>
      <c r="F65" s="9"/>
      <c r="G65" s="9"/>
      <c r="H65" s="9"/>
    </row>
    <row r="66" spans="1:8" x14ac:dyDescent="0.2">
      <c r="A66" s="40" t="s">
        <v>23</v>
      </c>
      <c r="B66" s="41" t="str">
        <f>"Incentive Amt = (Lane-"&amp;IF(Units="US CUSTOMARY","miles","kilometers")&amp;" x "&amp;IF(Units="US CUSTOMARY","80,000 x 0.05)","49,600 x 0.05)")</f>
        <v>Incentive Amt = (Lane-miles x 80,000 x 0.05)</v>
      </c>
      <c r="C66" s="41"/>
      <c r="D66" s="8"/>
      <c r="E66" s="8"/>
      <c r="F66" s="9"/>
      <c r="G66" s="9"/>
      <c r="H66" s="9"/>
    </row>
    <row r="67" spans="1:8" ht="18" x14ac:dyDescent="0.25">
      <c r="A67" s="298" t="s">
        <v>28</v>
      </c>
      <c r="B67" s="298"/>
      <c r="C67" s="298"/>
      <c r="D67" s="298"/>
      <c r="E67" s="298"/>
      <c r="F67" s="298"/>
      <c r="G67" s="298"/>
      <c r="H67" s="298"/>
    </row>
    <row r="68" spans="1:8" x14ac:dyDescent="0.2">
      <c r="A68" s="7"/>
      <c r="B68" s="7"/>
      <c r="C68" s="11" t="s">
        <v>24</v>
      </c>
      <c r="D68" s="12" t="str">
        <f>IF(FP="FP-03","FP-03","FP-14")</f>
        <v>FP-14</v>
      </c>
      <c r="E68" s="8"/>
      <c r="F68" s="9"/>
      <c r="G68" s="9"/>
      <c r="H68" s="9"/>
    </row>
    <row r="69" spans="1:8" x14ac:dyDescent="0.2">
      <c r="A69" s="7"/>
      <c r="B69" s="7"/>
      <c r="C69" s="7"/>
      <c r="D69" s="10"/>
      <c r="E69" s="8"/>
      <c r="F69" s="9"/>
      <c r="G69" s="9"/>
      <c r="H69" s="9"/>
    </row>
    <row r="70" spans="1:8" x14ac:dyDescent="0.2">
      <c r="A70" s="11" t="s">
        <v>3</v>
      </c>
      <c r="B70" s="297" t="str">
        <f>+B4</f>
        <v>Enter Project Number</v>
      </c>
      <c r="C70" s="297"/>
      <c r="D70" s="12"/>
      <c r="E70" s="12"/>
      <c r="F70" s="13"/>
      <c r="G70" s="14" t="s">
        <v>5</v>
      </c>
      <c r="H70" s="15">
        <f ca="1" xml:space="preserve"> TODAY()</f>
        <v>43503</v>
      </c>
    </row>
    <row r="71" spans="1:8" ht="4.5" customHeight="1" x14ac:dyDescent="0.2">
      <c r="A71" s="11"/>
      <c r="B71" s="297"/>
      <c r="C71" s="297"/>
      <c r="D71" s="12"/>
      <c r="E71" s="12"/>
      <c r="F71" s="13"/>
      <c r="G71" s="14"/>
      <c r="H71" s="15"/>
    </row>
    <row r="72" spans="1:8" x14ac:dyDescent="0.2">
      <c r="A72" s="11" t="s">
        <v>4</v>
      </c>
      <c r="B72" s="303" t="str">
        <f>+B6</f>
        <v>Enter Project name</v>
      </c>
      <c r="C72" s="303"/>
      <c r="D72" s="303"/>
      <c r="E72" s="303"/>
      <c r="F72" s="303"/>
      <c r="G72" s="14" t="str">
        <f>+G6</f>
        <v xml:space="preserve">Schedule: </v>
      </c>
      <c r="H72" s="17" t="str">
        <f>+H6</f>
        <v>B</v>
      </c>
    </row>
    <row r="73" spans="1:8" x14ac:dyDescent="0.2">
      <c r="A73" s="7"/>
      <c r="B73" s="7"/>
      <c r="C73" s="7"/>
      <c r="D73" s="8"/>
      <c r="E73" s="8"/>
      <c r="F73" s="9"/>
      <c r="G73" s="14" t="s">
        <v>8</v>
      </c>
      <c r="H73" s="13" t="str">
        <f>+Units</f>
        <v>US CUSTOMARY</v>
      </c>
    </row>
    <row r="74" spans="1:8" ht="6.75" customHeight="1" thickBot="1" x14ac:dyDescent="0.25">
      <c r="A74" s="7"/>
      <c r="B74" s="7"/>
      <c r="C74" s="7"/>
      <c r="D74" s="8"/>
      <c r="E74" s="8"/>
      <c r="F74" s="9"/>
      <c r="G74" s="14"/>
      <c r="H74" s="13"/>
    </row>
    <row r="75" spans="1:8" ht="19.5" customHeight="1" thickBot="1" x14ac:dyDescent="0.25">
      <c r="A75" s="231" t="s">
        <v>33</v>
      </c>
      <c r="B75" s="232"/>
      <c r="C75" s="232"/>
      <c r="D75" s="232"/>
      <c r="E75" s="232"/>
      <c r="F75" s="232"/>
      <c r="G75" s="232"/>
      <c r="H75" s="233"/>
    </row>
    <row r="76" spans="1:8" ht="5.25" customHeight="1" x14ac:dyDescent="0.2">
      <c r="A76" s="18"/>
      <c r="B76" s="44"/>
      <c r="C76" s="44"/>
      <c r="D76" s="45"/>
      <c r="E76" s="46"/>
      <c r="F76" s="45"/>
      <c r="G76" s="45"/>
      <c r="H76" s="45"/>
    </row>
    <row r="77" spans="1:8" x14ac:dyDescent="0.2">
      <c r="A77" s="57" t="s">
        <v>29</v>
      </c>
      <c r="B77" s="58"/>
      <c r="C77" s="59" t="s">
        <v>89</v>
      </c>
      <c r="D77" s="60" t="str">
        <f>IF(Units="US CUSTOMARY"," CUYD"," m3")</f>
        <v xml:space="preserve"> CUYD</v>
      </c>
      <c r="E77" s="61"/>
      <c r="F77" s="62" t="s">
        <v>32</v>
      </c>
      <c r="G77" s="45"/>
      <c r="H77" s="45"/>
    </row>
    <row r="78" spans="1:8" x14ac:dyDescent="0.2">
      <c r="A78" s="189">
        <v>20401</v>
      </c>
      <c r="B78" s="190" t="s">
        <v>30</v>
      </c>
      <c r="C78" s="308">
        <f>IF(Units="US Customary", 0.3, 0.39)</f>
        <v>0.3</v>
      </c>
      <c r="D78" s="192"/>
      <c r="E78" s="193"/>
      <c r="F78" s="210" t="str">
        <f>IF(ISNUMBER(D78),+C$78*D78, "-")</f>
        <v>-</v>
      </c>
      <c r="G78" s="26"/>
      <c r="H78" s="26"/>
    </row>
    <row r="79" spans="1:8" x14ac:dyDescent="0.2">
      <c r="A79" s="189">
        <v>20402</v>
      </c>
      <c r="B79" s="190" t="s">
        <v>35</v>
      </c>
      <c r="C79" s="309"/>
      <c r="D79" s="192"/>
      <c r="E79" s="193"/>
      <c r="F79" s="210" t="str">
        <f t="shared" ref="F79:F87" si="1">IF(ISNUMBER(D79),+C$78*D79, "-")</f>
        <v>-</v>
      </c>
      <c r="G79" s="26"/>
      <c r="H79" s="26"/>
    </row>
    <row r="80" spans="1:8" x14ac:dyDescent="0.2">
      <c r="A80" s="189">
        <v>20403</v>
      </c>
      <c r="B80" s="190" t="s">
        <v>31</v>
      </c>
      <c r="C80" s="309"/>
      <c r="D80" s="192"/>
      <c r="E80" s="193"/>
      <c r="F80" s="210" t="str">
        <f t="shared" si="1"/>
        <v>-</v>
      </c>
      <c r="G80" s="26"/>
      <c r="H80" s="26"/>
    </row>
    <row r="81" spans="1:8" x14ac:dyDescent="0.2">
      <c r="A81" s="189">
        <v>20404</v>
      </c>
      <c r="B81" s="191" t="s">
        <v>38</v>
      </c>
      <c r="C81" s="309"/>
      <c r="D81" s="192"/>
      <c r="E81" s="193"/>
      <c r="F81" s="210" t="str">
        <f t="shared" si="1"/>
        <v>-</v>
      </c>
      <c r="G81" s="26"/>
      <c r="H81" s="26"/>
    </row>
    <row r="82" spans="1:8" x14ac:dyDescent="0.2">
      <c r="A82" s="189">
        <v>20410</v>
      </c>
      <c r="B82" s="191" t="s">
        <v>34</v>
      </c>
      <c r="C82" s="309"/>
      <c r="D82" s="192"/>
      <c r="E82" s="193"/>
      <c r="F82" s="210" t="str">
        <f t="shared" si="1"/>
        <v>-</v>
      </c>
      <c r="G82" s="26"/>
      <c r="H82" s="26"/>
    </row>
    <row r="83" spans="1:8" x14ac:dyDescent="0.2">
      <c r="A83" s="189">
        <v>20411</v>
      </c>
      <c r="B83" s="191" t="s">
        <v>39</v>
      </c>
      <c r="C83" s="309"/>
      <c r="D83" s="192"/>
      <c r="E83" s="193"/>
      <c r="F83" s="210" t="str">
        <f t="shared" si="1"/>
        <v>-</v>
      </c>
      <c r="G83" s="26"/>
      <c r="H83" s="26"/>
    </row>
    <row r="84" spans="1:8" x14ac:dyDescent="0.2">
      <c r="A84" s="189">
        <v>20415</v>
      </c>
      <c r="B84" s="191" t="s">
        <v>36</v>
      </c>
      <c r="C84" s="309"/>
      <c r="D84" s="192"/>
      <c r="E84" s="193"/>
      <c r="F84" s="210" t="str">
        <f t="shared" si="1"/>
        <v>-</v>
      </c>
      <c r="G84" s="26"/>
      <c r="H84" s="26"/>
    </row>
    <row r="85" spans="1:8" x14ac:dyDescent="0.2">
      <c r="A85" s="189">
        <v>20416</v>
      </c>
      <c r="B85" s="191" t="s">
        <v>40</v>
      </c>
      <c r="C85" s="309"/>
      <c r="D85" s="192"/>
      <c r="E85" s="193"/>
      <c r="F85" s="210" t="str">
        <f t="shared" si="1"/>
        <v>-</v>
      </c>
      <c r="G85" s="26"/>
      <c r="H85" s="26"/>
    </row>
    <row r="86" spans="1:8" x14ac:dyDescent="0.2">
      <c r="A86" s="189">
        <v>20420</v>
      </c>
      <c r="B86" s="191" t="s">
        <v>136</v>
      </c>
      <c r="C86" s="309"/>
      <c r="D86" s="192"/>
      <c r="E86" s="193"/>
      <c r="F86" s="210" t="str">
        <f t="shared" si="1"/>
        <v>-</v>
      </c>
      <c r="G86" s="26"/>
      <c r="H86" s="26"/>
    </row>
    <row r="87" spans="1:8" x14ac:dyDescent="0.2">
      <c r="A87" s="189">
        <v>20421</v>
      </c>
      <c r="B87" s="191" t="s">
        <v>37</v>
      </c>
      <c r="C87" s="309"/>
      <c r="D87" s="192"/>
      <c r="E87" s="193"/>
      <c r="F87" s="210" t="str">
        <f t="shared" si="1"/>
        <v>-</v>
      </c>
      <c r="G87" s="26"/>
      <c r="H87" s="26"/>
    </row>
    <row r="88" spans="1:8" x14ac:dyDescent="0.2">
      <c r="A88" s="63" t="s">
        <v>45</v>
      </c>
      <c r="B88" s="64"/>
      <c r="C88" s="59" t="s">
        <v>89</v>
      </c>
      <c r="D88" s="60" t="str">
        <f>IF(Units="US CUSTOMARY"," Tons"," tonnes")</f>
        <v xml:space="preserve"> Tons</v>
      </c>
      <c r="E88" s="61"/>
      <c r="F88" s="62" t="s">
        <v>32</v>
      </c>
      <c r="G88" s="26"/>
      <c r="H88" s="26"/>
    </row>
    <row r="89" spans="1:8" x14ac:dyDescent="0.2">
      <c r="A89" s="189">
        <v>30101</v>
      </c>
      <c r="B89" s="191" t="s">
        <v>41</v>
      </c>
      <c r="C89" s="310">
        <f>IF(Units="US Customary", 0.7, 0.77)</f>
        <v>0.7</v>
      </c>
      <c r="D89" s="192"/>
      <c r="E89" s="193"/>
      <c r="F89" s="210" t="str">
        <f>IF(ISNUMBER(D89),+C$89*D89, "-")</f>
        <v>-</v>
      </c>
      <c r="G89" s="26"/>
      <c r="H89" s="26"/>
    </row>
    <row r="90" spans="1:8" x14ac:dyDescent="0.2">
      <c r="A90" s="189">
        <v>30102</v>
      </c>
      <c r="B90" s="191" t="s">
        <v>42</v>
      </c>
      <c r="C90" s="311"/>
      <c r="D90" s="192"/>
      <c r="E90" s="193"/>
      <c r="F90" s="210" t="str">
        <f t="shared" ref="F90:F97" si="2">IF(ISNUMBER(D90),+C$89*D90, "-")</f>
        <v>-</v>
      </c>
      <c r="G90" s="26"/>
      <c r="H90" s="26"/>
    </row>
    <row r="91" spans="1:8" x14ac:dyDescent="0.2">
      <c r="A91" s="189">
        <v>30103</v>
      </c>
      <c r="B91" s="191" t="s">
        <v>42</v>
      </c>
      <c r="C91" s="311"/>
      <c r="D91" s="192"/>
      <c r="E91" s="193"/>
      <c r="F91" s="210" t="str">
        <f t="shared" si="2"/>
        <v>-</v>
      </c>
      <c r="G91" s="26"/>
      <c r="H91" s="26"/>
    </row>
    <row r="92" spans="1:8" x14ac:dyDescent="0.2">
      <c r="A92" s="237">
        <v>30105</v>
      </c>
      <c r="B92" s="238" t="s">
        <v>43</v>
      </c>
      <c r="C92" s="311"/>
      <c r="D92" s="192"/>
      <c r="E92" s="193"/>
      <c r="F92" s="210" t="str">
        <f t="shared" si="2"/>
        <v>-</v>
      </c>
      <c r="G92" s="26"/>
      <c r="H92" s="26"/>
    </row>
    <row r="93" spans="1:8" x14ac:dyDescent="0.2">
      <c r="A93" s="237">
        <v>30106</v>
      </c>
      <c r="B93" s="238" t="s">
        <v>44</v>
      </c>
      <c r="C93" s="311"/>
      <c r="D93" s="192"/>
      <c r="E93" s="193"/>
      <c r="F93" s="210" t="str">
        <f t="shared" si="2"/>
        <v>-</v>
      </c>
      <c r="G93" s="26"/>
      <c r="H93" s="26"/>
    </row>
    <row r="94" spans="1:8" x14ac:dyDescent="0.2">
      <c r="A94" s="237">
        <v>30107</v>
      </c>
      <c r="B94" s="238" t="s">
        <v>44</v>
      </c>
      <c r="C94" s="311"/>
      <c r="D94" s="192"/>
      <c r="E94" s="193"/>
      <c r="F94" s="210" t="str">
        <f t="shared" si="2"/>
        <v>-</v>
      </c>
      <c r="G94" s="26"/>
      <c r="H94" s="26"/>
    </row>
    <row r="95" spans="1:8" x14ac:dyDescent="0.2">
      <c r="A95" s="237">
        <v>30110</v>
      </c>
      <c r="B95" s="238" t="s">
        <v>137</v>
      </c>
      <c r="C95" s="311"/>
      <c r="D95" s="192"/>
      <c r="E95" s="193"/>
      <c r="F95" s="210" t="str">
        <f t="shared" si="2"/>
        <v>-</v>
      </c>
      <c r="G95" s="26"/>
      <c r="H95" s="26"/>
    </row>
    <row r="96" spans="1:8" x14ac:dyDescent="0.2">
      <c r="A96" s="237">
        <v>30111</v>
      </c>
      <c r="B96" s="238" t="s">
        <v>138</v>
      </c>
      <c r="C96" s="311"/>
      <c r="D96" s="192"/>
      <c r="E96" s="193"/>
      <c r="F96" s="210" t="str">
        <f t="shared" si="2"/>
        <v>-</v>
      </c>
      <c r="G96" s="26"/>
      <c r="H96" s="26"/>
    </row>
    <row r="97" spans="1:8" x14ac:dyDescent="0.2">
      <c r="A97" s="237">
        <v>30112</v>
      </c>
      <c r="B97" s="238" t="s">
        <v>138</v>
      </c>
      <c r="C97" s="311"/>
      <c r="D97" s="192"/>
      <c r="E97" s="193"/>
      <c r="F97" s="210" t="str">
        <f t="shared" si="2"/>
        <v>-</v>
      </c>
      <c r="G97" s="26"/>
      <c r="H97" s="26"/>
    </row>
    <row r="98" spans="1:8" x14ac:dyDescent="0.2">
      <c r="A98" s="63" t="str">
        <f>IF(FP="FP-03","Section 302 - Untreated Aggregate Courses","Section 305 - Full Depth reclamation (FDR) with Cement")</f>
        <v>Section 305 - Full Depth reclamation (FDR) with Cement</v>
      </c>
      <c r="B98" s="64"/>
      <c r="C98" s="59" t="s">
        <v>89</v>
      </c>
      <c r="D98" s="60" t="str">
        <f>IF(Units="US CUSTOMARY",(VLOOKUP(A100,'VLookup table'!A1:E6,4)),(VLOOKUP(A100,'VLookup table'!A1:E6,5)))</f>
        <v>SQYD</v>
      </c>
      <c r="E98" s="65"/>
      <c r="F98" s="62" t="s">
        <v>32</v>
      </c>
      <c r="G98" s="26"/>
      <c r="H98" s="26"/>
    </row>
    <row r="99" spans="1:8" x14ac:dyDescent="0.2">
      <c r="A99" s="189" t="str">
        <f>IF(FP="FP-03","30201","30501")</f>
        <v>30501</v>
      </c>
      <c r="B99" s="190" t="str">
        <f>IF(FP="FP-03","Treated aggregate course","FDR with cement*")</f>
        <v>FDR with cement*</v>
      </c>
      <c r="C99" s="311">
        <f>IF(Units="US CUSTOMARY",(VLOOKUP(A100,'VLookup table'!A2:G8,6)),(VLOOKUP(A100,'VLookup table'!A2:G8,7)))</f>
        <v>0.3</v>
      </c>
      <c r="D99" s="192"/>
      <c r="E99" s="193"/>
      <c r="F99" s="210" t="str">
        <f>IF(ISNUMBER(D99),+C$99*D99, "-")</f>
        <v>-</v>
      </c>
      <c r="G99" s="26"/>
      <c r="H99" s="26"/>
    </row>
    <row r="100" spans="1:8" x14ac:dyDescent="0.2">
      <c r="A100" s="189" t="str">
        <f>IF(FP="FP-03","30202","30502")</f>
        <v>30502</v>
      </c>
      <c r="B100" s="190" t="str">
        <f>IF(FP="FP-03","Treated aggregate course*","FDR with cement")</f>
        <v>FDR with cement</v>
      </c>
      <c r="C100" s="311"/>
      <c r="D100" s="192"/>
      <c r="E100" s="193"/>
      <c r="F100" s="210" t="str">
        <f>IF(ISNUMBER(D100),+C$99*D100, "-")</f>
        <v>-</v>
      </c>
      <c r="G100" s="26"/>
      <c r="H100" s="26"/>
    </row>
    <row r="101" spans="1:8" x14ac:dyDescent="0.2">
      <c r="A101" s="63" t="str">
        <f>IF(FP="FP-03","Section 304 - Aggregate Stabilization","Section 306 - Full Depth Reclamation (FDR) with Asphalt")</f>
        <v>Section 306 - Full Depth Reclamation (FDR) with Asphalt</v>
      </c>
      <c r="B101" s="66"/>
      <c r="C101" s="59" t="s">
        <v>89</v>
      </c>
      <c r="D101" s="60" t="str">
        <f>IF(Units="US CUSTOMARY",(VLOOKUP(A103,'VLookup table'!A7:E17,4)),(VLOOKUP(A103,'VLookup table'!A7:E17,5)))</f>
        <v>SQYD</v>
      </c>
      <c r="E101" s="65"/>
      <c r="F101" s="62" t="s">
        <v>32</v>
      </c>
      <c r="G101" s="26"/>
      <c r="H101" s="26"/>
    </row>
    <row r="102" spans="1:8" x14ac:dyDescent="0.2">
      <c r="A102" s="189" t="str">
        <f>IF(FP="FP-03","30401","30601")</f>
        <v>30601</v>
      </c>
      <c r="B102" s="194" t="str">
        <f>IF(FP="FP-03","Aggregate stabilzation imported aggregate","FDR with emulsified asphalt*")</f>
        <v>FDR with emulsified asphalt*</v>
      </c>
      <c r="C102" s="310">
        <f>IF(Units="US CUSTOMARY",(VLOOKUP(A103,'VLookup table'!A2:G8,6)),(VLOOKUP(A103,'VLookup table'!A2:G8,7)))</f>
        <v>0.3</v>
      </c>
      <c r="D102" s="192"/>
      <c r="E102" s="193"/>
      <c r="F102" s="210" t="str">
        <f>IF(ISNUMBER(D102),+C$102*D102, "-")</f>
        <v>-</v>
      </c>
      <c r="G102" s="74"/>
      <c r="H102" s="26"/>
    </row>
    <row r="103" spans="1:8" x14ac:dyDescent="0.2">
      <c r="A103" s="189" t="str">
        <f>IF(FP="FP-03","30402","30602")</f>
        <v>30602</v>
      </c>
      <c r="B103" s="194" t="str">
        <f>IF(FP="FP-03","Aggregate stabilzation imported aggregate*","FDR with emulsified asphalt")</f>
        <v>FDR with emulsified asphalt</v>
      </c>
      <c r="C103" s="311"/>
      <c r="D103" s="192"/>
      <c r="E103" s="193"/>
      <c r="F103" s="210" t="str">
        <f t="shared" ref="F103:F106" si="3">IF(ISNUMBER(D103),+C$102*D103, "-")</f>
        <v>-</v>
      </c>
      <c r="G103" s="74"/>
      <c r="H103" s="26"/>
    </row>
    <row r="104" spans="1:8" x14ac:dyDescent="0.2">
      <c r="A104" s="189" t="str">
        <f>IF(FP="FP-03","30405","30603")</f>
        <v>30603</v>
      </c>
      <c r="B104" s="194" t="str">
        <f>IF(FP="FP-03","Aggregate stabilzation in-place aggregate*","FDR with foamed asphalt*")</f>
        <v>FDR with foamed asphalt*</v>
      </c>
      <c r="C104" s="311"/>
      <c r="D104" s="192"/>
      <c r="E104" s="193"/>
      <c r="F104" s="210" t="str">
        <f t="shared" si="3"/>
        <v>-</v>
      </c>
      <c r="G104" s="74"/>
      <c r="H104" s="26"/>
    </row>
    <row r="105" spans="1:8" x14ac:dyDescent="0.2">
      <c r="A105" s="195" t="str">
        <f>IF(FP="FP-03","30410","30604")</f>
        <v>30604</v>
      </c>
      <c r="B105" s="196" t="str">
        <f>IF(FP="FP-03","Aggregate stabilzation imported surface course*","FDR with foamed asphalt")</f>
        <v>FDR with foamed asphalt</v>
      </c>
      <c r="C105" s="311"/>
      <c r="D105" s="197"/>
      <c r="E105" s="198"/>
      <c r="F105" s="210" t="str">
        <f t="shared" si="3"/>
        <v>-</v>
      </c>
      <c r="G105" s="74"/>
      <c r="H105" s="26"/>
    </row>
    <row r="106" spans="1:8" ht="22.5" customHeight="1" x14ac:dyDescent="0.2">
      <c r="A106" s="195" t="str">
        <f>IF(FP="FP-03","30411","")</f>
        <v/>
      </c>
      <c r="B106" s="196" t="str">
        <f>IF(FP="FP-03","Aggregate stabilzation imported surface course*"," ")</f>
        <v xml:space="preserve"> </v>
      </c>
      <c r="C106" s="311"/>
      <c r="D106" s="197"/>
      <c r="E106" s="198"/>
      <c r="F106" s="210" t="str">
        <f t="shared" si="3"/>
        <v>-</v>
      </c>
      <c r="G106" s="74"/>
      <c r="H106" s="26"/>
    </row>
    <row r="107" spans="1:8" x14ac:dyDescent="0.2">
      <c r="A107" s="63" t="s">
        <v>139</v>
      </c>
      <c r="B107" s="66"/>
      <c r="C107" s="59" t="s">
        <v>89</v>
      </c>
      <c r="D107" s="60" t="str">
        <f>IF(Units="US CUSTOMARY"," Tons"," tonnes")</f>
        <v xml:space="preserve"> Tons</v>
      </c>
      <c r="E107" s="65"/>
      <c r="F107" s="67" t="s">
        <v>32</v>
      </c>
      <c r="G107" s="26"/>
      <c r="H107" s="26"/>
    </row>
    <row r="108" spans="1:8" x14ac:dyDescent="0.2">
      <c r="A108" s="189">
        <v>30901</v>
      </c>
      <c r="B108" s="239" t="s">
        <v>78</v>
      </c>
      <c r="C108" s="310">
        <f>IF(Units="US Customary", 0.7, 0.77)</f>
        <v>0.7</v>
      </c>
      <c r="D108" s="192"/>
      <c r="E108" s="193"/>
      <c r="F108" s="210" t="str">
        <f>IF(ISNUMBER(D108),+C$108*D108, "-")</f>
        <v>-</v>
      </c>
      <c r="G108" s="26"/>
      <c r="H108" s="26"/>
    </row>
    <row r="109" spans="1:8" x14ac:dyDescent="0.2">
      <c r="A109" s="189">
        <v>30902</v>
      </c>
      <c r="B109" s="239" t="s">
        <v>79</v>
      </c>
      <c r="C109" s="311"/>
      <c r="D109" s="192"/>
      <c r="E109" s="193"/>
      <c r="F109" s="210" t="str">
        <f t="shared" ref="F109:F110" si="4">IF(ISNUMBER(D109),+C$108*D109, "-")</f>
        <v>-</v>
      </c>
      <c r="G109" s="26"/>
      <c r="H109" s="26"/>
    </row>
    <row r="110" spans="1:8" x14ac:dyDescent="0.2">
      <c r="A110" s="189">
        <v>30903</v>
      </c>
      <c r="B110" s="239" t="s">
        <v>79</v>
      </c>
      <c r="C110" s="311"/>
      <c r="D110" s="192"/>
      <c r="E110" s="193"/>
      <c r="F110" s="210" t="str">
        <f t="shared" si="4"/>
        <v>-</v>
      </c>
      <c r="G110" s="26"/>
      <c r="H110" s="26"/>
    </row>
    <row r="111" spans="1:8" x14ac:dyDescent="0.2">
      <c r="A111" s="63" t="str">
        <f>IF(FP="FP-03","Section 401 - Superpave HACP","Section 310 - Cold In-Place (CIP) Recycled Asphalt Base")</f>
        <v>Section 310 - Cold In-Place (CIP) Recycled Asphalt Base</v>
      </c>
      <c r="B111" s="58"/>
      <c r="C111" s="59" t="s">
        <v>89</v>
      </c>
      <c r="D111" s="82" t="str">
        <f>IF(Units="US CUSTOMARY", (VLOOKUP(A113,'VLookup table'!A18:G27,4)),(VLOOKUP(A113,'VLookup table'!A18:G27,5)))</f>
        <v>SQYD</v>
      </c>
      <c r="E111" s="65"/>
      <c r="F111" s="67" t="s">
        <v>32</v>
      </c>
      <c r="G111" s="84"/>
      <c r="H111" s="26"/>
    </row>
    <row r="112" spans="1:8" x14ac:dyDescent="0.2">
      <c r="A112" s="189" t="str">
        <f>IF(FP="FP-03","40101","31001")</f>
        <v>31001</v>
      </c>
      <c r="B112" s="190" t="str">
        <f>IF(FP="FP-03","Superpave pavement","CIP recycled ashalt base*")</f>
        <v>CIP recycled ashalt base*</v>
      </c>
      <c r="C112" s="311">
        <f>IF(Units="US CUSTOMARY",(VLOOKUP(A113,'VLookup table'!A18:G27,6)),(VLOOKUP(A113,'VLookup table'!A18:G27,7)))</f>
        <v>0.15</v>
      </c>
      <c r="D112" s="192"/>
      <c r="E112" s="193"/>
      <c r="F112" s="210" t="str">
        <f>IF(ISNUMBER(D112),+C$112*D112, "-")</f>
        <v>-</v>
      </c>
      <c r="G112" s="26"/>
      <c r="H112" s="26"/>
    </row>
    <row r="113" spans="1:8" ht="22.5" customHeight="1" x14ac:dyDescent="0.2">
      <c r="A113" s="195" t="str">
        <f>IF(FP="FP-03","40102","31002")</f>
        <v>31002</v>
      </c>
      <c r="B113" s="196" t="str">
        <f>IF(FP="FP-03","Superpave pavement wedge and levelling course","CIP recycled ashalt base")</f>
        <v>CIP recycled ashalt base</v>
      </c>
      <c r="C113" s="311"/>
      <c r="D113" s="197"/>
      <c r="E113" s="198"/>
      <c r="F113" s="210" t="str">
        <f>IF(ISNUMBER(D113),+C$112*D113, "-")</f>
        <v>-</v>
      </c>
      <c r="G113" s="26"/>
      <c r="H113" s="26"/>
    </row>
    <row r="114" spans="1:8" x14ac:dyDescent="0.2">
      <c r="A114" s="63" t="str">
        <f>IF(FP="FP-03","Section 402 - HACP by Hveem or Marshall","Section 311 - Stabilized Aggregate Base Course")</f>
        <v>Section 311 - Stabilized Aggregate Base Course</v>
      </c>
      <c r="B114" s="58"/>
      <c r="C114" s="59" t="s">
        <v>89</v>
      </c>
      <c r="D114" s="82" t="str">
        <f>IF(Units="US CUSTOMARY", (VLOOKUP(A116,'VLookup table'!A21:G29,4)),(VLOOKUP(A116,'VLookup table'!A21:G29,5)))</f>
        <v>Tons</v>
      </c>
      <c r="E114" s="65"/>
      <c r="F114" s="67" t="s">
        <v>32</v>
      </c>
      <c r="G114" s="26"/>
      <c r="H114" s="26"/>
    </row>
    <row r="115" spans="1:8" ht="12.75" customHeight="1" x14ac:dyDescent="0.2">
      <c r="A115" s="189" t="str">
        <f>IF(FP="FP-03","40201","31101")</f>
        <v>31101</v>
      </c>
      <c r="B115" s="190" t="str">
        <f>IF(FP="FP-03","HACP Hveem or Marshall test","Stabilized aggregate surface course*")</f>
        <v>Stabilized aggregate surface course*</v>
      </c>
      <c r="C115" s="304">
        <f>IF(Units="US CUSTOMARY",(VLOOKUP(A116,'VLookup table'!A21:G29,6)),(VLOOKUP(A116,'VLookup table'!A21:G29,7)))</f>
        <v>0.7</v>
      </c>
      <c r="D115" s="192"/>
      <c r="E115" s="193"/>
      <c r="F115" s="210" t="str">
        <f>IF(ISNUMBER(D115),+C$115*D115, "-")</f>
        <v>-</v>
      </c>
      <c r="G115" s="84"/>
      <c r="H115" s="26"/>
    </row>
    <row r="116" spans="1:8" ht="23.25" customHeight="1" x14ac:dyDescent="0.2">
      <c r="A116" s="195" t="str">
        <f>IF(FP="FP-03","40202","31102")</f>
        <v>31102</v>
      </c>
      <c r="B116" s="196" t="str">
        <f>IF(FP="FP-03","HACP Hveem or Marshall test, wedge and levelling course","Stabilized aggregate surface course*")</f>
        <v>Stabilized aggregate surface course*</v>
      </c>
      <c r="C116" s="304"/>
      <c r="D116" s="197"/>
      <c r="E116" s="198"/>
      <c r="F116" s="210" t="str">
        <f t="shared" ref="F116:F117" si="5">IF(ISNUMBER(D116),+C$115*D116, "-")</f>
        <v>-</v>
      </c>
      <c r="G116" s="26"/>
      <c r="H116" s="26"/>
    </row>
    <row r="117" spans="1:8" x14ac:dyDescent="0.2">
      <c r="A117" s="189" t="str">
        <f>IF(FP="FP-03"," ","31103")</f>
        <v>31103</v>
      </c>
      <c r="B117" s="190" t="str">
        <f>IF(FP="FP-03"," ","Stabilized aggregate surface course")</f>
        <v>Stabilized aggregate surface course</v>
      </c>
      <c r="C117" s="305"/>
      <c r="D117" s="192"/>
      <c r="E117" s="193"/>
      <c r="F117" s="210" t="str">
        <f t="shared" si="5"/>
        <v>-</v>
      </c>
      <c r="G117" s="26"/>
      <c r="H117" s="26"/>
    </row>
    <row r="118" spans="1:8" x14ac:dyDescent="0.2">
      <c r="A118" s="68" t="str">
        <f>IF(FP="FP-03","Section 403 - Hot Asphalt Concrete Pavement","Section 401 - ACP by Gyratory Mix Design Method")</f>
        <v>Section 401 - ACP by Gyratory Mix Design Method</v>
      </c>
      <c r="B118" s="69"/>
      <c r="C118" s="79" t="s">
        <v>89</v>
      </c>
      <c r="D118" s="82" t="str">
        <f>IF(Units="US CUSTOMARY", (VLOOKUP(A120,'VLookup table'!A30:G35,4)),(VLOOKUP(A120,'VLookup table'!A30:G35,5)))</f>
        <v>Tons</v>
      </c>
      <c r="E118" s="72"/>
      <c r="F118" s="78" t="s">
        <v>32</v>
      </c>
      <c r="G118" s="26"/>
      <c r="H118" s="26"/>
    </row>
    <row r="119" spans="1:8" x14ac:dyDescent="0.2">
      <c r="A119" s="199" t="str">
        <f>IF(FP="FP-03","40301","40101")</f>
        <v>40101</v>
      </c>
      <c r="B119" s="191" t="str">
        <f>IF(FP="FP-03","Hot asphalt concrete pavement","Asphalt concrete pavement, gyratory mix")</f>
        <v>Asphalt concrete pavement, gyratory mix</v>
      </c>
      <c r="C119" s="304">
        <f>IF(Units="US CUSTOMARY",(VLOOKUP(A120,'VLookup table'!A30:G35,6)),(VLOOKUP(A120,'VLookup table'!A30:G35,7)))</f>
        <v>2.4</v>
      </c>
      <c r="D119" s="200"/>
      <c r="E119" s="201"/>
      <c r="F119" s="240" t="str">
        <f>IF(ISNUMBER(D119),+C$119*D119, "-")</f>
        <v>-</v>
      </c>
      <c r="G119" s="84"/>
      <c r="H119" s="26"/>
    </row>
    <row r="120" spans="1:8" ht="22.5" x14ac:dyDescent="0.2">
      <c r="A120" s="202" t="str">
        <f>IF(FP="FP-03","40302","40102")</f>
        <v>40102</v>
      </c>
      <c r="B120" s="203" t="str">
        <f>IF(FP="FP-03","Hot asphalt concrete pavement, wedge and levelling course","Asphalt concrete pavement, gyratory mix, wedged and leveling")</f>
        <v>Asphalt concrete pavement, gyratory mix, wedged and leveling</v>
      </c>
      <c r="C120" s="304"/>
      <c r="D120" s="204"/>
      <c r="E120" s="205"/>
      <c r="F120" s="240" t="str">
        <f>IF(ISNUMBER(D120),+C$119*D120, "-")</f>
        <v>-</v>
      </c>
      <c r="G120" s="26"/>
      <c r="H120" s="26"/>
    </row>
    <row r="121" spans="1:8" ht="28.5" customHeight="1" x14ac:dyDescent="0.25">
      <c r="A121" s="306" t="str">
        <f>IF(FP="FP-03","Section 405 - Open-Graded Asphalt Friction Course","Section 402 - ACP by Hveem or Marshall Mix Design Method")</f>
        <v>Section 402 - ACP by Hveem or Marshall Mix Design Method</v>
      </c>
      <c r="B121" s="307"/>
      <c r="C121" s="162" t="s">
        <v>89</v>
      </c>
      <c r="D121" s="163" t="str">
        <f>IF(Units="US CUSTOMARY", (VLOOKUP(A121,'VLookup table'!A37:G40,4)),(VLOOKUP(A121,'VLookup table'!A37:G40,5)))</f>
        <v>Tons</v>
      </c>
      <c r="E121" s="164"/>
      <c r="F121" s="165" t="s">
        <v>32</v>
      </c>
      <c r="G121" s="26"/>
      <c r="H121" s="26"/>
    </row>
    <row r="122" spans="1:8" ht="12.75" customHeight="1" x14ac:dyDescent="0.2">
      <c r="A122" s="199" t="str">
        <f>IF(FP="FP-03","40501","40201")</f>
        <v>40201</v>
      </c>
      <c r="B122" s="191" t="str">
        <f>IF(FP="FP-03","Open-graded asphalt friction course","ACP Hveem or Marshall Mix Design Method")</f>
        <v>ACP Hveem or Marshall Mix Design Method</v>
      </c>
      <c r="C122" s="304">
        <f>IF(Units="US CUSTOMARY",(VLOOKUP(A121,'VLookup table'!A35:G39,6)),(VLOOKUP(A121,'VLookup table'!A35:G39,7)))</f>
        <v>2.4</v>
      </c>
      <c r="D122" s="200"/>
      <c r="E122" s="201"/>
      <c r="F122" s="240" t="str">
        <f>IF(ISNUMBER(D122),+C$122*D122, "-")</f>
        <v>-</v>
      </c>
      <c r="G122" s="84"/>
      <c r="H122" s="26"/>
    </row>
    <row r="123" spans="1:8" ht="23.25" customHeight="1" x14ac:dyDescent="0.2">
      <c r="A123" s="202" t="str">
        <f>IF(FP="FP-03","","40202")</f>
        <v>40202</v>
      </c>
      <c r="B123" s="203" t="str">
        <f>IF(FP="FP-03","","ACP Hveen or Marshall Mix, wedge and leveling")</f>
        <v>ACP Hveen or Marshall Mix, wedge and leveling</v>
      </c>
      <c r="C123" s="304"/>
      <c r="D123" s="204"/>
      <c r="E123" s="205"/>
      <c r="F123" s="240" t="str">
        <f>IF(ISNUMBER(D123),+C$122*D123, "-")</f>
        <v>-</v>
      </c>
      <c r="G123" s="26"/>
      <c r="H123" s="26"/>
    </row>
    <row r="124" spans="1:8" x14ac:dyDescent="0.2">
      <c r="A124" s="68" t="str">
        <f>IF(FP="FP-03","Section 408 - Cold Recycled Asphalt base Course","Section 403 - Asphalt Concrete")</f>
        <v>Section 403 - Asphalt Concrete</v>
      </c>
      <c r="B124" s="69"/>
      <c r="C124" s="79" t="s">
        <v>89</v>
      </c>
      <c r="D124" s="82" t="str">
        <f>IF(Units="US CUSTOMARY", (VLOOKUP(A124,'VLookup table'!A38:G46,4)),(VLOOKUP(A124,'VLookup table'!A38:G46,5)))</f>
        <v>Tons</v>
      </c>
      <c r="E124" s="72"/>
      <c r="F124" s="78" t="s">
        <v>32</v>
      </c>
      <c r="G124" s="49"/>
      <c r="H124" s="49"/>
    </row>
    <row r="125" spans="1:8" x14ac:dyDescent="0.2">
      <c r="A125" s="199" t="str">
        <f>IF(FP="FP-03","40801","40301")</f>
        <v>40301</v>
      </c>
      <c r="B125" s="191" t="str">
        <f>IF(FP="FP-03","Cold recylced aphalt base","Asphalt concrete pavement")</f>
        <v>Asphalt concrete pavement</v>
      </c>
      <c r="C125" s="304">
        <f>IF(Units="US CUSTOMARY",(VLOOKUP(A124,'VLookup table'!A38:G46,6)),(VLOOKUP(A124,'VLookup table'!A38:G46,7)))</f>
        <v>2.4</v>
      </c>
      <c r="D125" s="200"/>
      <c r="E125" s="201"/>
      <c r="F125" s="240" t="str">
        <f>IF(ISNUMBER(D125),+C$125*D125, "-")</f>
        <v>-</v>
      </c>
      <c r="G125" s="154"/>
      <c r="H125" s="18"/>
    </row>
    <row r="126" spans="1:8" x14ac:dyDescent="0.2">
      <c r="A126" s="199" t="str">
        <f>IF(FP="FP-03","40802","40302")</f>
        <v>40302</v>
      </c>
      <c r="B126" s="191" t="str">
        <f>IF(FP="FP-03","Cold recylced aphalt base*","Asphalt concrete pavement*")</f>
        <v>Asphalt concrete pavement*</v>
      </c>
      <c r="C126" s="304"/>
      <c r="D126" s="200"/>
      <c r="E126" s="201"/>
      <c r="F126" s="240" t="str">
        <f t="shared" ref="F126:F127" si="6">IF(ISNUMBER(D126),+C$125*D126, "-")</f>
        <v>-</v>
      </c>
      <c r="G126" s="45"/>
      <c r="H126" s="45"/>
    </row>
    <row r="127" spans="1:8" ht="22.5" x14ac:dyDescent="0.2">
      <c r="A127" s="202" t="str">
        <f>IF(FP="FP-03","","40303")</f>
        <v>40303</v>
      </c>
      <c r="B127" s="203" t="str">
        <f>IF(FP="FP-03","","Asphalt concrete pavement, wedge and levelling")</f>
        <v>Asphalt concrete pavement, wedge and levelling</v>
      </c>
      <c r="C127" s="305"/>
      <c r="D127" s="204"/>
      <c r="E127" s="205"/>
      <c r="F127" s="240" t="str">
        <f t="shared" si="6"/>
        <v>-</v>
      </c>
      <c r="G127" s="45"/>
      <c r="H127" s="45"/>
    </row>
    <row r="128" spans="1:8" ht="15" x14ac:dyDescent="0.25">
      <c r="A128" s="295" t="s">
        <v>183</v>
      </c>
      <c r="B128" s="206"/>
      <c r="C128" s="241"/>
      <c r="D128" s="250"/>
      <c r="E128" s="207"/>
      <c r="F128" s="242"/>
      <c r="G128" s="45"/>
      <c r="H128" s="45"/>
    </row>
    <row r="129" spans="1:8" ht="15" x14ac:dyDescent="0.25">
      <c r="A129" s="166"/>
      <c r="B129" s="161"/>
      <c r="C129" s="243"/>
      <c r="D129" s="251"/>
      <c r="E129" s="208"/>
      <c r="F129" s="244"/>
      <c r="G129" s="45"/>
      <c r="H129" s="45"/>
    </row>
    <row r="130" spans="1:8" ht="15" x14ac:dyDescent="0.25">
      <c r="A130" s="166"/>
      <c r="B130" s="161"/>
      <c r="C130" s="243"/>
      <c r="D130" s="251"/>
      <c r="E130" s="208"/>
      <c r="F130" s="244"/>
      <c r="G130" s="45"/>
      <c r="H130" s="45"/>
    </row>
    <row r="131" spans="1:8" ht="18" x14ac:dyDescent="0.25">
      <c r="A131" s="298" t="s">
        <v>28</v>
      </c>
      <c r="B131" s="298"/>
      <c r="C131" s="298"/>
      <c r="D131" s="298"/>
      <c r="E131" s="298"/>
      <c r="F131" s="298"/>
      <c r="G131" s="298"/>
      <c r="H131" s="298"/>
    </row>
    <row r="132" spans="1:8" x14ac:dyDescent="0.2">
      <c r="A132" s="7"/>
      <c r="B132" s="7"/>
      <c r="C132" s="11" t="s">
        <v>24</v>
      </c>
      <c r="D132" s="12" t="str">
        <f>IF(FP="FP-03","FP-03","FP-14")</f>
        <v>FP-14</v>
      </c>
      <c r="E132" s="8"/>
      <c r="F132" s="9"/>
      <c r="G132" s="9"/>
      <c r="H132" s="9"/>
    </row>
    <row r="133" spans="1:8" x14ac:dyDescent="0.2">
      <c r="A133" s="7"/>
      <c r="B133" s="7"/>
      <c r="C133" s="7"/>
      <c r="D133" s="10"/>
      <c r="E133" s="8"/>
      <c r="F133" s="9"/>
      <c r="G133" s="9"/>
      <c r="H133" s="9"/>
    </row>
    <row r="134" spans="1:8" x14ac:dyDescent="0.2">
      <c r="A134" s="11" t="s">
        <v>3</v>
      </c>
      <c r="B134" s="297" t="str">
        <f>+B4</f>
        <v>Enter Project Number</v>
      </c>
      <c r="C134" s="297"/>
      <c r="D134" s="12"/>
      <c r="E134" s="12"/>
      <c r="F134" s="13"/>
      <c r="G134" s="14" t="s">
        <v>5</v>
      </c>
      <c r="H134" s="15">
        <f ca="1" xml:space="preserve"> TODAY()</f>
        <v>43503</v>
      </c>
    </row>
    <row r="135" spans="1:8" ht="3.75" customHeight="1" x14ac:dyDescent="0.2">
      <c r="A135" s="11"/>
      <c r="B135" s="297"/>
      <c r="C135" s="297"/>
      <c r="D135" s="12"/>
      <c r="E135" s="12"/>
      <c r="F135" s="13"/>
      <c r="G135" s="14"/>
      <c r="H135" s="15"/>
    </row>
    <row r="136" spans="1:8" x14ac:dyDescent="0.2">
      <c r="A136" s="11" t="s">
        <v>4</v>
      </c>
      <c r="B136" s="303" t="str">
        <f>+B6</f>
        <v>Enter Project name</v>
      </c>
      <c r="C136" s="303"/>
      <c r="D136" s="303"/>
      <c r="E136" s="303"/>
      <c r="F136" s="303"/>
      <c r="G136" s="14" t="str">
        <f>+G6</f>
        <v xml:space="preserve">Schedule: </v>
      </c>
      <c r="H136" s="17" t="str">
        <f>+H6</f>
        <v>B</v>
      </c>
    </row>
    <row r="137" spans="1:8" x14ac:dyDescent="0.2">
      <c r="A137" s="7"/>
      <c r="B137" s="7"/>
      <c r="C137" s="7"/>
      <c r="D137" s="8"/>
      <c r="E137" s="8"/>
      <c r="F137" s="9"/>
      <c r="G137" s="14" t="s">
        <v>8</v>
      </c>
      <c r="H137" s="13" t="str">
        <f>+Units</f>
        <v>US CUSTOMARY</v>
      </c>
    </row>
    <row r="138" spans="1:8" ht="6.75" customHeight="1" thickBot="1" x14ac:dyDescent="0.25">
      <c r="A138" s="7"/>
      <c r="B138" s="7"/>
      <c r="C138" s="7"/>
      <c r="D138" s="8"/>
      <c r="E138" s="8"/>
      <c r="F138" s="9"/>
      <c r="G138" s="14"/>
      <c r="H138" s="13"/>
    </row>
    <row r="139" spans="1:8" ht="19.5" customHeight="1" thickBot="1" x14ac:dyDescent="0.25">
      <c r="A139" s="231" t="s">
        <v>151</v>
      </c>
      <c r="B139" s="232"/>
      <c r="C139" s="232"/>
      <c r="D139" s="232"/>
      <c r="E139" s="232"/>
      <c r="F139" s="232"/>
      <c r="G139" s="232"/>
      <c r="H139" s="233"/>
    </row>
    <row r="140" spans="1:8" ht="5.25" customHeight="1" x14ac:dyDescent="0.2">
      <c r="A140" s="18"/>
      <c r="B140" s="44"/>
      <c r="C140" s="44"/>
      <c r="D140" s="45"/>
      <c r="E140" s="46"/>
      <c r="F140" s="45"/>
      <c r="G140" s="45"/>
      <c r="H140" s="45"/>
    </row>
    <row r="141" spans="1:8" ht="24" customHeight="1" x14ac:dyDescent="0.2">
      <c r="A141" s="312" t="str">
        <f>IF(FP="FP-03","Section 416 - Continuous Cold Recycled Asphalt Base Course","Section 405 - Open-Graded Asphalt Friction")</f>
        <v>Section 405 - Open-Graded Asphalt Friction</v>
      </c>
      <c r="B141" s="313"/>
      <c r="C141" s="79" t="s">
        <v>89</v>
      </c>
      <c r="D141" s="82" t="str">
        <f>IF(Units="US CUSTOMARY", (VLOOKUP(A141,'VLookup table'!A42:G50,4)),(VLOOKUP(A141,'VLookup table'!A42:G50,5)))</f>
        <v>Tons</v>
      </c>
      <c r="E141" s="72"/>
      <c r="F141" s="78" t="s">
        <v>32</v>
      </c>
      <c r="G141" s="45"/>
      <c r="H141" s="45"/>
    </row>
    <row r="142" spans="1:8" ht="15" x14ac:dyDescent="0.2">
      <c r="A142" s="70" t="str">
        <f>IF(FP="FP-03","41601","40501")</f>
        <v>40501</v>
      </c>
      <c r="B142" s="71" t="str">
        <f>IF(FP="FP-03","Continuous cold recylced aphalt base","Open-graded asphalt friction course")</f>
        <v>Open-graded asphalt friction course</v>
      </c>
      <c r="C142" s="245">
        <f>IF(Units="US CUSTOMARY",(VLOOKUP(A141,'VLookup table'!A42:G50,6)),(VLOOKUP(A141,'VLookup table'!A42:G50,7)))</f>
        <v>2.4</v>
      </c>
      <c r="D142" s="75"/>
      <c r="E142" s="73"/>
      <c r="F142" s="246" t="str">
        <f>IF(ISNUMBER(D142),+C$142*D142, "-")</f>
        <v>-</v>
      </c>
      <c r="G142" s="152"/>
      <c r="H142" s="45"/>
    </row>
    <row r="143" spans="1:8" ht="26.25" customHeight="1" x14ac:dyDescent="0.2">
      <c r="A143" s="312" t="str">
        <f>IF(FP="FP-03","Section 418 - Foamed Asphalt Stabilized Base - not in FP (in SCRs)","Not applicable")</f>
        <v>Not applicable</v>
      </c>
      <c r="B143" s="314"/>
      <c r="C143" s="162" t="s">
        <v>89</v>
      </c>
      <c r="D143" s="163" t="e">
        <f>IF(Units="US CUSTOMARY", (VLOOKUP(A143,'VLookup table'!A49:G54,4)),(VLOOKUP(A143,'VLookup table'!A49:G54,5)))</f>
        <v>#N/A</v>
      </c>
      <c r="E143" s="164"/>
      <c r="F143" s="165" t="s">
        <v>32</v>
      </c>
      <c r="G143" s="152"/>
      <c r="H143" s="45"/>
    </row>
    <row r="144" spans="1:8" ht="15" x14ac:dyDescent="0.2">
      <c r="A144" s="70" t="str">
        <f>IF(FP="FP-03","41801","")</f>
        <v/>
      </c>
      <c r="B144" s="71" t="str">
        <f>IF(FP="FP-03","Foamed asphalt stabilized base course","")</f>
        <v/>
      </c>
      <c r="C144" s="245" t="e">
        <f>IF(Units="US CUSTOMARY",(VLOOKUP(A143,'VLookup table'!A49:G53,6)),(VLOOKUP(A143,'VLookup table'!A49:G53,7)))</f>
        <v>#N/A</v>
      </c>
      <c r="D144" s="75"/>
      <c r="E144" s="73"/>
      <c r="F144" s="246" t="str">
        <f>IF(ISNUMBER(D144),+C$144*D144, "-")</f>
        <v>-</v>
      </c>
      <c r="G144" s="152"/>
      <c r="H144" s="49"/>
    </row>
    <row r="145" spans="1:8" x14ac:dyDescent="0.2">
      <c r="A145" s="68" t="str">
        <f>IF(FP="FP-03","Section 501 - Rigid pavement","Not applicable")</f>
        <v>Not applicable</v>
      </c>
      <c r="B145" s="69"/>
      <c r="C145" s="79" t="s">
        <v>89</v>
      </c>
      <c r="D145" s="82" t="e">
        <f>IF(Units="US CUSTOMARY", (VLOOKUP(A146,'VLookup table'!A54:G56,4)),(VLOOKUP(A146,'VLookup table'!A54:G56,5)))</f>
        <v>#N/A</v>
      </c>
      <c r="E145" s="72"/>
      <c r="F145" s="78" t="s">
        <v>32</v>
      </c>
      <c r="G145" s="50"/>
      <c r="H145" s="51"/>
    </row>
    <row r="146" spans="1:8" x14ac:dyDescent="0.2">
      <c r="A146" s="199" t="str">
        <f>IF(FP="FP-03","50101","")</f>
        <v/>
      </c>
      <c r="B146" s="191" t="str">
        <f>IF(FP="FP-03","Reinforced rigid pavement","")</f>
        <v/>
      </c>
      <c r="C146" s="304" t="e">
        <f>IF(Units="US CUSTOMARY",(VLOOKUP(A146,'VLookup table'!A54:G56,6)),(VLOOKUP(A146,'VLookup table'!A54:G56,7)))</f>
        <v>#N/A</v>
      </c>
      <c r="D146" s="200"/>
      <c r="E146" s="201"/>
      <c r="F146" s="240" t="str">
        <f>IF(ISNUMBER(D146),+C$146*D146, "-")</f>
        <v>-</v>
      </c>
      <c r="G146" s="50"/>
      <c r="H146" s="51"/>
    </row>
    <row r="147" spans="1:8" x14ac:dyDescent="0.2">
      <c r="A147" s="199" t="str">
        <f>IF(FP="FP-03","50102","")</f>
        <v/>
      </c>
      <c r="B147" s="191" t="str">
        <f>IF(FP="FP-03","Plain rigid pavement","")</f>
        <v/>
      </c>
      <c r="C147" s="305"/>
      <c r="D147" s="200"/>
      <c r="E147" s="201"/>
      <c r="F147" s="240" t="str">
        <f>IF(ISNUMBER(D147),+C$146*D147, "-")</f>
        <v>-</v>
      </c>
      <c r="G147" s="50"/>
      <c r="H147" s="51"/>
    </row>
    <row r="148" spans="1:8" x14ac:dyDescent="0.2">
      <c r="A148" s="47"/>
      <c r="B148" s="47"/>
      <c r="C148" s="47"/>
      <c r="D148" s="48"/>
      <c r="E148" s="48"/>
      <c r="F148" s="49"/>
      <c r="G148" s="49"/>
      <c r="H148" s="49"/>
    </row>
    <row r="149" spans="1:8" x14ac:dyDescent="0.2">
      <c r="A149" s="47"/>
      <c r="B149" s="47"/>
      <c r="C149" s="47"/>
      <c r="D149" s="48"/>
      <c r="E149" s="48"/>
      <c r="F149" s="49"/>
      <c r="G149" s="49"/>
      <c r="H149" s="49"/>
    </row>
    <row r="150" spans="1:8" x14ac:dyDescent="0.2">
      <c r="A150" s="209"/>
      <c r="B150" s="216"/>
      <c r="C150" s="217"/>
      <c r="D150" s="218" t="s">
        <v>144</v>
      </c>
      <c r="E150" s="217"/>
      <c r="F150" s="219">
        <f>SUM(F78:F127)+SUM(F141:F147)</f>
        <v>0</v>
      </c>
      <c r="G150" s="18"/>
      <c r="H150" s="18"/>
    </row>
    <row r="151" spans="1:8" ht="4.5" customHeight="1" x14ac:dyDescent="0.2">
      <c r="A151" s="18"/>
      <c r="B151" s="220"/>
      <c r="C151" s="44"/>
      <c r="D151" s="46"/>
      <c r="E151" s="46"/>
      <c r="F151" s="221"/>
      <c r="G151" s="45"/>
      <c r="H151" s="45"/>
    </row>
    <row r="152" spans="1:8" x14ac:dyDescent="0.2">
      <c r="A152" s="18"/>
      <c r="B152" s="222"/>
      <c r="C152" s="47"/>
      <c r="D152" s="211" t="s">
        <v>140</v>
      </c>
      <c r="E152" s="52"/>
      <c r="F152" s="252"/>
      <c r="G152" s="45"/>
      <c r="H152" s="45"/>
    </row>
    <row r="153" spans="1:8" ht="7.5" customHeight="1" x14ac:dyDescent="0.2">
      <c r="A153" s="18"/>
      <c r="B153" s="223"/>
      <c r="C153" s="47"/>
      <c r="D153" s="215"/>
      <c r="E153" s="52"/>
      <c r="F153" s="221"/>
      <c r="G153" s="45"/>
      <c r="H153" s="45"/>
    </row>
    <row r="154" spans="1:8" x14ac:dyDescent="0.2">
      <c r="A154" s="18"/>
      <c r="B154" s="223"/>
      <c r="C154" s="47"/>
      <c r="D154" s="211" t="s">
        <v>141</v>
      </c>
      <c r="E154" s="52"/>
      <c r="F154" s="224" t="str">
        <f>IF(F152&lt;&gt;"",F152*1.6,"-")</f>
        <v>-</v>
      </c>
      <c r="G154" s="45"/>
      <c r="H154" s="45"/>
    </row>
    <row r="155" spans="1:8" ht="5.25" customHeight="1" x14ac:dyDescent="0.2">
      <c r="A155" s="18"/>
      <c r="B155" s="223"/>
      <c r="C155" s="47"/>
      <c r="D155" s="215"/>
      <c r="E155" s="52"/>
      <c r="F155" s="221"/>
      <c r="G155" s="45"/>
      <c r="H155" s="45"/>
    </row>
    <row r="156" spans="1:8" x14ac:dyDescent="0.2">
      <c r="A156" s="47"/>
      <c r="B156" s="223"/>
      <c r="C156" s="47"/>
      <c r="D156" s="212" t="s">
        <v>142</v>
      </c>
      <c r="E156" s="48"/>
      <c r="F156" s="225" t="str">
        <f>IF(F150&lt;&gt;0,(1.6-1.1)*(F150*F152),"-")</f>
        <v>-</v>
      </c>
      <c r="G156" s="49"/>
      <c r="H156" s="49"/>
    </row>
    <row r="157" spans="1:8" ht="7.5" customHeight="1" x14ac:dyDescent="0.2">
      <c r="A157" s="47"/>
      <c r="B157" s="223"/>
      <c r="C157" s="47"/>
      <c r="D157" s="48"/>
      <c r="E157" s="48"/>
      <c r="F157" s="221"/>
      <c r="G157" s="53"/>
      <c r="H157" s="54"/>
    </row>
    <row r="158" spans="1:8" x14ac:dyDescent="0.2">
      <c r="A158" s="47"/>
      <c r="B158" s="223"/>
      <c r="C158" s="47"/>
      <c r="D158" s="212" t="s">
        <v>143</v>
      </c>
      <c r="E158" s="48"/>
      <c r="F158" s="253"/>
      <c r="G158" s="53"/>
      <c r="H158" s="54"/>
    </row>
    <row r="159" spans="1:8" ht="6.75" customHeight="1" x14ac:dyDescent="0.2">
      <c r="A159" s="47"/>
      <c r="B159" s="223"/>
      <c r="C159" s="47"/>
      <c r="D159" s="48"/>
      <c r="E159" s="48"/>
      <c r="F159" s="221"/>
      <c r="G159" s="53"/>
      <c r="H159" s="54"/>
    </row>
    <row r="160" spans="1:8" ht="18.75" customHeight="1" x14ac:dyDescent="0.2">
      <c r="A160" s="47"/>
      <c r="B160" s="226"/>
      <c r="C160" s="227"/>
      <c r="D160" s="228" t="s">
        <v>145</v>
      </c>
      <c r="E160" s="229"/>
      <c r="F160" s="230" t="str">
        <f>IF(F158&lt;&gt;"",(F156*F158)/100,"$0.00")</f>
        <v>$0.00</v>
      </c>
      <c r="G160" s="53"/>
      <c r="H160" s="54"/>
    </row>
    <row r="161" spans="1:8" ht="18.75" customHeight="1" x14ac:dyDescent="0.2">
      <c r="A161" s="47"/>
      <c r="B161" s="47"/>
      <c r="C161" s="47"/>
      <c r="D161" s="213"/>
      <c r="E161" s="48"/>
      <c r="F161" s="214"/>
      <c r="G161" s="53"/>
      <c r="H161" s="54"/>
    </row>
    <row r="162" spans="1:8" ht="18.75" customHeight="1" x14ac:dyDescent="0.2">
      <c r="A162" s="47"/>
      <c r="B162" s="47"/>
      <c r="C162" s="47"/>
      <c r="D162" s="213"/>
      <c r="E162" s="48"/>
      <c r="F162" s="214"/>
      <c r="G162" s="53"/>
      <c r="H162" s="54"/>
    </row>
    <row r="163" spans="1:8" x14ac:dyDescent="0.2">
      <c r="A163" s="47"/>
      <c r="B163" s="47"/>
      <c r="C163" s="47"/>
      <c r="D163" s="48"/>
      <c r="E163" s="48"/>
      <c r="F163" s="49"/>
      <c r="G163" s="53"/>
      <c r="H163" s="54"/>
    </row>
    <row r="164" spans="1:8" ht="6.75" customHeight="1" thickBot="1" x14ac:dyDescent="0.25">
      <c r="A164" s="7"/>
      <c r="B164" s="7"/>
      <c r="C164" s="7"/>
      <c r="D164" s="8"/>
      <c r="E164" s="8"/>
      <c r="F164" s="9"/>
      <c r="G164" s="14"/>
      <c r="H164" s="13"/>
    </row>
    <row r="165" spans="1:8" ht="19.5" customHeight="1" thickBot="1" x14ac:dyDescent="0.25">
      <c r="A165" s="234" t="s">
        <v>146</v>
      </c>
      <c r="B165" s="235"/>
      <c r="C165" s="235"/>
      <c r="D165" s="235"/>
      <c r="E165" s="235"/>
      <c r="F165" s="235"/>
      <c r="G165" s="235"/>
      <c r="H165" s="236"/>
    </row>
    <row r="166" spans="1:8" ht="5.25" customHeight="1" x14ac:dyDescent="0.2">
      <c r="A166" s="18"/>
      <c r="B166" s="44"/>
      <c r="C166" s="44"/>
      <c r="D166" s="45"/>
      <c r="E166" s="46"/>
      <c r="F166" s="45"/>
      <c r="G166" s="45"/>
      <c r="H166" s="45"/>
    </row>
    <row r="167" spans="1:8" x14ac:dyDescent="0.2">
      <c r="A167" s="47"/>
      <c r="B167" s="216"/>
      <c r="C167" s="217"/>
      <c r="D167" s="218" t="s">
        <v>149</v>
      </c>
      <c r="E167" s="217"/>
      <c r="F167" s="254"/>
      <c r="G167" s="53"/>
      <c r="H167" s="54"/>
    </row>
    <row r="168" spans="1:8" x14ac:dyDescent="0.2">
      <c r="A168" s="47"/>
      <c r="B168" s="220"/>
      <c r="C168" s="44"/>
      <c r="D168" s="46"/>
      <c r="E168" s="46"/>
      <c r="F168" s="221"/>
      <c r="G168" s="53"/>
      <c r="H168" s="54"/>
    </row>
    <row r="169" spans="1:8" x14ac:dyDescent="0.2">
      <c r="A169" s="47"/>
      <c r="B169" s="222"/>
      <c r="C169" s="47"/>
      <c r="D169" s="211" t="s">
        <v>147</v>
      </c>
      <c r="E169" s="52"/>
      <c r="F169" s="252"/>
      <c r="G169" s="53"/>
      <c r="H169" s="54"/>
    </row>
    <row r="170" spans="1:8" x14ac:dyDescent="0.2">
      <c r="A170" s="47"/>
      <c r="B170" s="223"/>
      <c r="C170" s="47"/>
      <c r="D170" s="215"/>
      <c r="E170" s="52"/>
      <c r="F170" s="221"/>
      <c r="G170" s="53"/>
      <c r="H170" s="54"/>
    </row>
    <row r="171" spans="1:8" x14ac:dyDescent="0.2">
      <c r="A171" s="47"/>
      <c r="B171" s="223"/>
      <c r="C171" s="47"/>
      <c r="D171" s="211" t="s">
        <v>141</v>
      </c>
      <c r="E171" s="52"/>
      <c r="F171" s="224" t="str">
        <f>IF(F169&lt;&gt;"",F169*1.6,"-")</f>
        <v>-</v>
      </c>
      <c r="G171" s="53"/>
      <c r="H171" s="54"/>
    </row>
    <row r="172" spans="1:8" x14ac:dyDescent="0.2">
      <c r="A172" s="47"/>
      <c r="B172" s="223"/>
      <c r="C172" s="47"/>
      <c r="D172" s="215"/>
      <c r="E172" s="52"/>
      <c r="F172" s="221"/>
      <c r="G172" s="53"/>
      <c r="H172" s="54"/>
    </row>
    <row r="173" spans="1:8" x14ac:dyDescent="0.2">
      <c r="A173" s="47"/>
      <c r="B173" s="223"/>
      <c r="C173" s="47"/>
      <c r="D173" s="212" t="s">
        <v>148</v>
      </c>
      <c r="E173" s="48"/>
      <c r="F173" s="225" t="str">
        <f>IF(F167&lt;&gt;0,(1.6-1.1)*(F169)*(F167*0.06),"-")</f>
        <v>-</v>
      </c>
      <c r="G173" s="53"/>
      <c r="H173" s="54"/>
    </row>
    <row r="174" spans="1:8" x14ac:dyDescent="0.2">
      <c r="A174" s="47"/>
      <c r="B174" s="223"/>
      <c r="C174" s="47"/>
      <c r="D174" s="48"/>
      <c r="E174" s="48"/>
      <c r="F174" s="221"/>
      <c r="G174" s="53"/>
      <c r="H174" s="54"/>
    </row>
    <row r="175" spans="1:8" x14ac:dyDescent="0.2">
      <c r="A175" s="47"/>
      <c r="B175" s="223"/>
      <c r="C175" s="47"/>
      <c r="D175" s="212" t="s">
        <v>143</v>
      </c>
      <c r="E175" s="48"/>
      <c r="F175" s="253"/>
      <c r="G175" s="53"/>
      <c r="H175" s="54"/>
    </row>
    <row r="176" spans="1:8" x14ac:dyDescent="0.2">
      <c r="A176" s="47"/>
      <c r="B176" s="223"/>
      <c r="C176" s="47"/>
      <c r="D176" s="48"/>
      <c r="E176" s="48"/>
      <c r="F176" s="221"/>
      <c r="G176" s="53"/>
      <c r="H176" s="54"/>
    </row>
    <row r="177" spans="1:8" x14ac:dyDescent="0.2">
      <c r="A177" s="47"/>
      <c r="B177" s="226"/>
      <c r="C177" s="227"/>
      <c r="D177" s="228" t="s">
        <v>150</v>
      </c>
      <c r="E177" s="229"/>
      <c r="F177" s="230" t="str">
        <f>IF(F175&lt;&gt;"",(F173*F175)/100,"$0.00")</f>
        <v>$0.00</v>
      </c>
      <c r="G177" s="49"/>
      <c r="H177" s="49"/>
    </row>
    <row r="178" spans="1:8" x14ac:dyDescent="0.2">
      <c r="A178" s="47"/>
      <c r="B178" s="47"/>
      <c r="C178" s="47"/>
      <c r="D178" s="48"/>
      <c r="E178" s="48"/>
      <c r="F178" s="49"/>
      <c r="G178" s="49"/>
      <c r="H178" s="49"/>
    </row>
    <row r="179" spans="1:8" x14ac:dyDescent="0.2">
      <c r="A179" s="55"/>
      <c r="B179" s="56"/>
      <c r="C179" s="56"/>
      <c r="D179" s="48"/>
      <c r="E179" s="48"/>
      <c r="F179" s="49"/>
      <c r="G179" s="49"/>
      <c r="H179" s="49"/>
    </row>
    <row r="180" spans="1:8" x14ac:dyDescent="0.2">
      <c r="A180" s="56"/>
      <c r="B180" s="56"/>
      <c r="C180" s="56"/>
      <c r="D180" s="48"/>
      <c r="E180" s="48"/>
      <c r="F180" s="49"/>
      <c r="G180" s="49"/>
      <c r="H180" s="49"/>
    </row>
    <row r="181" spans="1:8" x14ac:dyDescent="0.2">
      <c r="A181" s="56"/>
      <c r="B181" s="56"/>
      <c r="C181" s="56"/>
      <c r="D181" s="48"/>
      <c r="E181" s="48"/>
      <c r="F181" s="49"/>
      <c r="G181" s="49"/>
      <c r="H181" s="49"/>
    </row>
    <row r="182" spans="1:8" x14ac:dyDescent="0.2">
      <c r="A182" s="55"/>
      <c r="B182" s="56"/>
      <c r="C182" s="56"/>
      <c r="D182" s="48"/>
      <c r="E182" s="48"/>
      <c r="F182" s="49"/>
      <c r="G182" s="49"/>
      <c r="H182" s="49"/>
    </row>
    <row r="183" spans="1:8" x14ac:dyDescent="0.2">
      <c r="A183" s="56"/>
      <c r="B183" s="56"/>
      <c r="C183" s="56"/>
      <c r="D183" s="48"/>
      <c r="E183" s="48"/>
      <c r="F183" s="49"/>
      <c r="G183" s="49"/>
      <c r="H183" s="49"/>
    </row>
    <row r="184" spans="1:8" x14ac:dyDescent="0.2">
      <c r="A184" s="56"/>
      <c r="B184" s="56"/>
      <c r="C184" s="56"/>
      <c r="D184" s="48"/>
      <c r="E184" s="48"/>
      <c r="F184" s="49"/>
      <c r="G184" s="49"/>
      <c r="H184" s="49"/>
    </row>
    <row r="185" spans="1:8" x14ac:dyDescent="0.2">
      <c r="A185" s="55"/>
      <c r="B185" s="56"/>
      <c r="C185" s="56"/>
      <c r="D185" s="48"/>
      <c r="E185" s="48"/>
      <c r="F185" s="49"/>
      <c r="G185" s="49"/>
      <c r="H185" s="49"/>
    </row>
  </sheetData>
  <dataConsolidate/>
  <mergeCells count="25">
    <mergeCell ref="A43:H43"/>
    <mergeCell ref="A1:H1"/>
    <mergeCell ref="B6:F6"/>
    <mergeCell ref="A10:H10"/>
    <mergeCell ref="A30:H30"/>
    <mergeCell ref="A38:G38"/>
    <mergeCell ref="A121:B121"/>
    <mergeCell ref="A51:G51"/>
    <mergeCell ref="A67:H67"/>
    <mergeCell ref="B72:F72"/>
    <mergeCell ref="C78:C87"/>
    <mergeCell ref="C89:C97"/>
    <mergeCell ref="C99:C100"/>
    <mergeCell ref="C102:C106"/>
    <mergeCell ref="C108:C110"/>
    <mergeCell ref="C112:C113"/>
    <mergeCell ref="C115:C117"/>
    <mergeCell ref="C119:C120"/>
    <mergeCell ref="C146:C147"/>
    <mergeCell ref="C122:C123"/>
    <mergeCell ref="C125:C127"/>
    <mergeCell ref="A131:H131"/>
    <mergeCell ref="B136:F136"/>
    <mergeCell ref="A141:B141"/>
    <mergeCell ref="A143:B143"/>
  </mergeCells>
  <dataValidations count="14">
    <dataValidation type="list" allowBlank="1" showInputMessage="1" showErrorMessage="1" promptTitle="Select Schedule Type " prompt="Select Schedule or Option " sqref="G6">
      <formula1>", Schedule: , Option: "</formula1>
    </dataValidation>
    <dataValidation type="whole" operator="greaterThanOrEqual" allowBlank="1" showInputMessage="1" showErrorMessage="1" error="Bid decimals set to zero._x000a__x000a_Contact Heidi Hirsbrunner (X3622)_x000a__x000a_to modify Incentive Spreadsheet." sqref="D108:D110 D112:D113 D115:D117 D119:D120 D122:D123 D125:D127 D142 D144 D146:D147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99:D100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89:D97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78:D87 D102:D106">
      <formula1>0</formula1>
    </dataValidation>
    <dataValidation type="whole" operator="greaterThanOrEqual" allowBlank="1" showInputMessage="1" showErrorMessage="1" error="Bid decimals set to zero._x000a__x000a_Contact Heidi Hirsbrunner (X3622)_x000a_                _x000a_to modify Incentive Spreadsheet." sqref="D13 D15 D17 D19 D21 D23 D25 D27 D33 D35">
      <formula1>0</formula1>
    </dataValidation>
    <dataValidation allowBlank="1" showErrorMessage="1" sqref="B81"/>
    <dataValidation allowBlank="1" sqref="B70:C70 B134:C134"/>
    <dataValidation allowBlank="1" showInputMessage="1" showErrorMessage="1" promptTitle="Enter project name" prompt="Example:  Pinto Basin Road" sqref="B6:F6"/>
    <dataValidation allowBlank="1" showInputMessage="1" showErrorMessage="1" promptTitle="Enter project number" prompt="Example:  CA FTNP JOTR 11(5)" sqref="B4:C4"/>
    <dataValidation type="list" allowBlank="1" showInputMessage="1" showErrorMessage="1" error="Please use the drop-down menu to select the FP version" promptTitle="Select FP Version" prompt="Select FP-03 or FP-14" sqref="D2">
      <formula1>" , FP-03, FP-14"</formula1>
    </dataValidation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36 D128:D130">
      <formula1>0</formula1>
    </dataValidation>
    <dataValidation type="list" allowBlank="1" showInputMessage="1" showErrorMessage="1" error="Please use the drop-down menu to select the project units" promptTitle="Select Units" prompt="Select Metric or US Customary" sqref="H8">
      <formula1>"METRIC, US CUSTOMARY"</formula1>
    </dataValidation>
    <dataValidation type="list" showInputMessage="1" showErrorMessage="1" error="Please use drop-down menu to select a schedule letter" promptTitle="Choose Letter" prompt="If you need more than six schedules, then copy addtional sheet tabs and calculate incentives separately for each schedule._x000a__x000a_Sheets tabs can be copied by left clicking the acitve tab and choosing 'Move or Copy', then clicking the 'Create Copy' checkbox." sqref="H6">
      <formula1>"  , A, B, C, D, E, F, G, W, X, Y, Z"</formula1>
    </dataValidation>
  </dataValidations>
  <printOptions horizontalCentered="1"/>
  <pageMargins left="0.7" right="0.7" top="0.25" bottom="0.75" header="0.3" footer="0.3"/>
  <pageSetup scale="81" fitToHeight="2" orientation="portrait" r:id="rId1"/>
  <headerFooter>
    <oddFooter>&amp;RRev. 02-08-2019</oddFooter>
  </headerFooter>
  <rowBreaks count="1" manualBreakCount="1">
    <brk id="66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185"/>
  <sheetViews>
    <sheetView zoomScaleNormal="100"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8" customWidth="1"/>
    <col min="5" max="5" width="1.7109375" style="38" customWidth="1"/>
    <col min="6" max="6" width="12.42578125" style="39" customWidth="1"/>
    <col min="7" max="7" width="14.42578125" style="39" customWidth="1"/>
    <col min="8" max="8" width="16.7109375" style="39" bestFit="1" customWidth="1"/>
    <col min="9" max="16384" width="9.140625" style="6"/>
  </cols>
  <sheetData>
    <row r="1" spans="1:8" ht="18" x14ac:dyDescent="0.25">
      <c r="A1" s="298" t="s">
        <v>26</v>
      </c>
      <c r="B1" s="298"/>
      <c r="C1" s="298"/>
      <c r="D1" s="298"/>
      <c r="E1" s="298"/>
      <c r="F1" s="298"/>
      <c r="G1" s="298"/>
      <c r="H1" s="298"/>
    </row>
    <row r="2" spans="1:8" ht="15" x14ac:dyDescent="0.2">
      <c r="A2" s="7"/>
      <c r="B2" s="7"/>
      <c r="C2" s="11" t="s">
        <v>24</v>
      </c>
      <c r="D2" s="256" t="str">
        <f>+Sheet1!D2</f>
        <v>FP-14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294" t="str">
        <f>+Sheet1!B4</f>
        <v>Enter Project Number</v>
      </c>
      <c r="C4" s="294"/>
      <c r="D4" s="12"/>
      <c r="E4" s="12"/>
      <c r="F4" s="13"/>
      <c r="G4" s="14" t="s">
        <v>5</v>
      </c>
      <c r="H4" s="15">
        <f ca="1" xml:space="preserve"> TODAY()</f>
        <v>43503</v>
      </c>
    </row>
    <row r="5" spans="1:8" ht="6" customHeight="1" x14ac:dyDescent="0.2">
      <c r="A5" s="11"/>
      <c r="B5" s="294"/>
      <c r="C5" s="294"/>
      <c r="D5" s="12"/>
      <c r="E5" s="12"/>
      <c r="F5" s="13"/>
      <c r="G5" s="14"/>
      <c r="H5" s="15"/>
    </row>
    <row r="6" spans="1:8" ht="15" x14ac:dyDescent="0.2">
      <c r="A6" s="11" t="s">
        <v>4</v>
      </c>
      <c r="B6" s="303" t="str">
        <f>+Sheet1!B6</f>
        <v>Enter Project name</v>
      </c>
      <c r="C6" s="303">
        <f>+Sheet1!C6</f>
        <v>0</v>
      </c>
      <c r="D6" s="303">
        <f>+Sheet1!D6</f>
        <v>0</v>
      </c>
      <c r="E6" s="303">
        <f>+Sheet1!E6</f>
        <v>0</v>
      </c>
      <c r="F6" s="303">
        <f>+Sheet1!F6</f>
        <v>0</v>
      </c>
      <c r="G6" s="258" t="s">
        <v>153</v>
      </c>
      <c r="H6" s="1" t="s">
        <v>182</v>
      </c>
    </row>
    <row r="7" spans="1:8" ht="6" customHeight="1" x14ac:dyDescent="0.2">
      <c r="A7" s="11"/>
      <c r="B7" s="294"/>
      <c r="C7" s="294"/>
      <c r="D7" s="294"/>
      <c r="E7" s="294"/>
      <c r="F7" s="294"/>
      <c r="G7" s="14"/>
      <c r="H7" s="17"/>
    </row>
    <row r="8" spans="1:8" ht="15" x14ac:dyDescent="0.2">
      <c r="A8" s="7"/>
      <c r="B8" s="7"/>
      <c r="C8" s="7"/>
      <c r="D8" s="8"/>
      <c r="E8" s="8"/>
      <c r="F8" s="9"/>
      <c r="G8" s="14" t="s">
        <v>8</v>
      </c>
      <c r="H8" s="256" t="str">
        <f>+Sheet1!H8</f>
        <v>US CUSTOMARY</v>
      </c>
    </row>
    <row r="9" spans="1:8" ht="13.5" thickBot="1" x14ac:dyDescent="0.25">
      <c r="A9" s="7"/>
      <c r="B9" s="7"/>
      <c r="C9" s="7"/>
      <c r="D9" s="8"/>
      <c r="E9" s="8"/>
      <c r="F9" s="9"/>
      <c r="G9" s="14"/>
      <c r="H9" s="13"/>
    </row>
    <row r="10" spans="1:8" ht="18.75" thickBot="1" x14ac:dyDescent="0.25">
      <c r="A10" s="300" t="s">
        <v>15</v>
      </c>
      <c r="B10" s="300"/>
      <c r="C10" s="300"/>
      <c r="D10" s="300"/>
      <c r="E10" s="300"/>
      <c r="F10" s="300"/>
      <c r="G10" s="300"/>
      <c r="H10" s="300"/>
    </row>
    <row r="11" spans="1:8" x14ac:dyDescent="0.2">
      <c r="A11" s="18" t="s">
        <v>13</v>
      </c>
      <c r="B11" s="18"/>
      <c r="C11" s="18"/>
      <c r="D11" s="18" t="s">
        <v>11</v>
      </c>
      <c r="E11" s="18"/>
      <c r="F11" s="18"/>
      <c r="G11" s="18"/>
      <c r="H11" s="18"/>
    </row>
    <row r="12" spans="1:8" ht="13.5" thickBot="1" x14ac:dyDescent="0.25">
      <c r="A12" s="19" t="s">
        <v>14</v>
      </c>
      <c r="B12" s="20" t="s">
        <v>7</v>
      </c>
      <c r="C12" s="20"/>
      <c r="D12" s="21" t="str">
        <f>IF(Units="US CUSTOMARY"," (Ton or SY)"," (tonnes or m2)")</f>
        <v xml:space="preserve"> (Ton or SY)</v>
      </c>
      <c r="E12" s="22"/>
      <c r="F12" s="21" t="s">
        <v>0</v>
      </c>
      <c r="G12" s="21" t="str">
        <f>"Q_"&amp;IF(Units="US CUSTOMARY","Ton","t")&amp;" Unit Price"</f>
        <v>Q_Ton Unit Price</v>
      </c>
      <c r="H12" s="21" t="s">
        <v>1</v>
      </c>
    </row>
    <row r="13" spans="1:8" ht="13.5" thickTop="1" x14ac:dyDescent="0.2">
      <c r="A13" s="23" t="str">
        <f>IF(FP="FP-03","301","301")</f>
        <v>301</v>
      </c>
      <c r="B13" s="24" t="str">
        <f>IF(FP="FP-03","Untreated Aggregate Courses","Untreated Aggregate Courses")</f>
        <v>Untreated Aggregate Courses</v>
      </c>
      <c r="C13" s="24"/>
      <c r="D13" s="3"/>
      <c r="E13" s="247"/>
      <c r="F13" s="4"/>
      <c r="G13" s="26" t="str">
        <f>IF(ISNUMBER(F13),ROUND(F13*0.05,2),"-")</f>
        <v>-</v>
      </c>
      <c r="H13" s="26" t="str">
        <f>IF(AND(ISNUMBER(D13),ISNUMBER(F13)),D13*G13,"-")</f>
        <v>-</v>
      </c>
    </row>
    <row r="14" spans="1:8" ht="6" customHeight="1" x14ac:dyDescent="0.2">
      <c r="A14" s="23"/>
      <c r="B14" s="24"/>
      <c r="C14" s="24"/>
      <c r="D14" s="247"/>
      <c r="E14" s="247"/>
      <c r="F14" s="248"/>
      <c r="G14" s="26"/>
      <c r="H14" s="26"/>
    </row>
    <row r="15" spans="1:8" x14ac:dyDescent="0.2">
      <c r="A15" s="23" t="str">
        <f>IF(FP="FP-03","302","309")</f>
        <v>309</v>
      </c>
      <c r="B15" s="24" t="str">
        <f>IF(FP="FP-03","Treated Aggregate Courses","Emulsified Asphalt-Treated Base Course")</f>
        <v>Emulsified Asphalt-Treated Base Course</v>
      </c>
      <c r="C15" s="24"/>
      <c r="D15" s="3"/>
      <c r="E15" s="247"/>
      <c r="F15" s="4"/>
      <c r="G15" s="26" t="str">
        <f>IF(ISNUMBER(F15),ROUND(F15*0.05,2),"-")</f>
        <v>-</v>
      </c>
      <c r="H15" s="26" t="str">
        <f>IF(AND(ISNUMBER(D15),ISNUMBER(F15)),D15*G15,"-")</f>
        <v>-</v>
      </c>
    </row>
    <row r="16" spans="1:8" ht="6" customHeight="1" x14ac:dyDescent="0.2">
      <c r="A16" s="23"/>
      <c r="B16" s="24"/>
      <c r="C16" s="24"/>
      <c r="D16" s="247"/>
      <c r="E16" s="247"/>
      <c r="F16" s="248"/>
      <c r="G16" s="26"/>
      <c r="H16" s="26"/>
    </row>
    <row r="17" spans="1:11" x14ac:dyDescent="0.2">
      <c r="A17" s="23" t="str">
        <f>IF(FP="FP-03","304","311")</f>
        <v>311</v>
      </c>
      <c r="B17" s="24" t="str">
        <f>IF(FP="FP-03","Aggregate Stabiliation","Stabilized Aggregate Surface Course")</f>
        <v>Stabilized Aggregate Surface Course</v>
      </c>
      <c r="C17" s="24"/>
      <c r="D17" s="3"/>
      <c r="E17" s="247"/>
      <c r="F17" s="4"/>
      <c r="G17" s="26" t="str">
        <f t="shared" ref="G17:G19" si="0">IF(ISNUMBER(F17),ROUND(F17*0.05,2),"-")</f>
        <v>-</v>
      </c>
      <c r="H17" s="26" t="str">
        <f>IF(AND(ISNUMBER(D17),ISNUMBER(F17)),D17*G17,"-")</f>
        <v>-</v>
      </c>
    </row>
    <row r="18" spans="1:11" ht="6" customHeight="1" x14ac:dyDescent="0.2">
      <c r="A18" s="23"/>
      <c r="B18" s="24"/>
      <c r="C18" s="24"/>
      <c r="D18" s="247"/>
      <c r="E18" s="247"/>
      <c r="F18" s="248"/>
      <c r="G18" s="26"/>
      <c r="H18" s="26"/>
    </row>
    <row r="19" spans="1:11" x14ac:dyDescent="0.2">
      <c r="A19" s="23" t="str">
        <f>IF(FP="FP-03","309","405")</f>
        <v>405</v>
      </c>
      <c r="B19" s="24" t="str">
        <f>IF(FP="FP-03","Emulsified ATB Course","Open-Graded Asphalt Friction Course")</f>
        <v>Open-Graded Asphalt Friction Course</v>
      </c>
      <c r="C19" s="24"/>
      <c r="D19" s="3"/>
      <c r="E19" s="247"/>
      <c r="F19" s="4"/>
      <c r="G19" s="26" t="str">
        <f t="shared" si="0"/>
        <v>-</v>
      </c>
      <c r="H19" s="26" t="str">
        <f>IF(AND(ISNUMBER(D19),ISNUMBER(F19)),D19*G19,"-")</f>
        <v>-</v>
      </c>
    </row>
    <row r="20" spans="1:11" ht="6" customHeight="1" x14ac:dyDescent="0.2">
      <c r="A20" s="23"/>
      <c r="B20" s="24"/>
      <c r="C20" s="24"/>
      <c r="D20" s="247"/>
      <c r="E20" s="247"/>
      <c r="F20" s="248"/>
      <c r="G20" s="26"/>
      <c r="H20" s="26"/>
    </row>
    <row r="21" spans="1:11" x14ac:dyDescent="0.2">
      <c r="A21" s="23" t="str">
        <f>IF(FP="FP-03","405","407")</f>
        <v>407</v>
      </c>
      <c r="B21" s="24" t="str">
        <f>IF(FP="FP-03","Open-Graded Asphalt Friction Course","Chip Seal")</f>
        <v>Chip Seal</v>
      </c>
      <c r="C21" s="24"/>
      <c r="D21" s="3"/>
      <c r="E21" s="247"/>
      <c r="F21" s="4"/>
      <c r="G21" s="26" t="str">
        <f t="shared" ref="G21:G23" si="1">IF(ISNUMBER(F21),ROUND(F21*0.05,2),"-")</f>
        <v>-</v>
      </c>
      <c r="H21" s="26" t="str">
        <f>IF(AND(ISNUMBER(D21),ISNUMBER(F21)),D21*G21,"-")</f>
        <v>-</v>
      </c>
    </row>
    <row r="22" spans="1:11" ht="6" customHeight="1" x14ac:dyDescent="0.2">
      <c r="A22" s="23"/>
      <c r="B22" s="24"/>
      <c r="C22" s="24"/>
      <c r="D22" s="247"/>
      <c r="E22" s="247"/>
      <c r="F22" s="248"/>
      <c r="G22" s="26"/>
      <c r="H22" s="26"/>
    </row>
    <row r="23" spans="1:11" x14ac:dyDescent="0.2">
      <c r="A23" s="23" t="str">
        <f>IF(FP="FP-03","409","-")</f>
        <v>-</v>
      </c>
      <c r="B23" s="24" t="str">
        <f>IF(FP="FP-03","Asphalt Surface Treatment","                         -")</f>
        <v xml:space="preserve">                         -</v>
      </c>
      <c r="C23" s="24"/>
      <c r="D23" s="3"/>
      <c r="E23" s="247"/>
      <c r="F23" s="4"/>
      <c r="G23" s="26" t="str">
        <f t="shared" si="1"/>
        <v>-</v>
      </c>
      <c r="H23" s="26" t="str">
        <f>IF(AND(ISNUMBER(D23),ISNUMBER(F23)),D23*G23,"-")</f>
        <v>-</v>
      </c>
    </row>
    <row r="24" spans="1:11" ht="6" customHeight="1" x14ac:dyDescent="0.2">
      <c r="A24" s="23"/>
      <c r="B24" s="24"/>
      <c r="C24" s="24"/>
      <c r="D24" s="247"/>
      <c r="E24" s="247"/>
      <c r="F24" s="248"/>
      <c r="G24" s="26"/>
      <c r="H24" s="26"/>
    </row>
    <row r="25" spans="1:11" x14ac:dyDescent="0.2">
      <c r="A25" s="23"/>
      <c r="B25" s="24"/>
      <c r="C25" s="24"/>
      <c r="D25" s="247"/>
      <c r="E25" s="247"/>
      <c r="F25" s="248"/>
      <c r="G25" s="26"/>
      <c r="H25" s="26"/>
    </row>
    <row r="26" spans="1:11" ht="6" customHeight="1" x14ac:dyDescent="0.2">
      <c r="A26" s="23"/>
      <c r="B26" s="24"/>
      <c r="C26" s="24"/>
      <c r="D26" s="247"/>
      <c r="E26" s="247"/>
      <c r="F26" s="248"/>
      <c r="G26" s="26"/>
      <c r="H26" s="26"/>
    </row>
    <row r="27" spans="1:11" x14ac:dyDescent="0.2">
      <c r="A27" s="23"/>
      <c r="B27" s="24"/>
      <c r="C27" s="24"/>
      <c r="D27" s="247"/>
      <c r="E27" s="247"/>
      <c r="F27" s="248"/>
      <c r="G27" s="26"/>
      <c r="H27" s="26"/>
    </row>
    <row r="28" spans="1:11" x14ac:dyDescent="0.2">
      <c r="A28" s="23"/>
      <c r="B28" s="24"/>
      <c r="C28" s="24"/>
      <c r="D28" s="25"/>
      <c r="E28" s="25"/>
      <c r="F28" s="27"/>
      <c r="G28" s="26"/>
      <c r="H28" s="26"/>
    </row>
    <row r="29" spans="1:11" ht="13.5" thickBot="1" x14ac:dyDescent="0.25">
      <c r="A29" s="7"/>
      <c r="B29" s="7"/>
      <c r="C29" s="7"/>
      <c r="D29" s="8"/>
      <c r="E29" s="8"/>
      <c r="F29" s="9"/>
      <c r="G29" s="9"/>
      <c r="H29" s="9"/>
    </row>
    <row r="30" spans="1:11" ht="18.75" thickBot="1" x14ac:dyDescent="0.25">
      <c r="A30" s="300" t="s">
        <v>16</v>
      </c>
      <c r="B30" s="300"/>
      <c r="C30" s="300"/>
      <c r="D30" s="300"/>
      <c r="E30" s="300"/>
      <c r="F30" s="300"/>
      <c r="G30" s="300"/>
      <c r="H30" s="300"/>
      <c r="K30" s="28"/>
    </row>
    <row r="31" spans="1:11" x14ac:dyDescent="0.2">
      <c r="A31" s="29" t="s">
        <v>13</v>
      </c>
      <c r="B31" s="29"/>
      <c r="C31" s="18"/>
      <c r="D31" s="18" t="s">
        <v>11</v>
      </c>
      <c r="E31" s="29"/>
      <c r="F31" s="29"/>
      <c r="G31" s="29"/>
      <c r="H31" s="29"/>
      <c r="K31" s="28"/>
    </row>
    <row r="32" spans="1:11" ht="13.5" thickBot="1" x14ac:dyDescent="0.25">
      <c r="A32" s="19" t="s">
        <v>14</v>
      </c>
      <c r="B32" s="20" t="s">
        <v>7</v>
      </c>
      <c r="C32" s="20"/>
      <c r="D32" s="21" t="str">
        <f>IF(Units="US CUSTOMARY"," (Ton or SY)"," (tonnes or m2)")</f>
        <v xml:space="preserve"> (Ton or SY)</v>
      </c>
      <c r="E32" s="22"/>
      <c r="F32" s="21" t="s">
        <v>0</v>
      </c>
      <c r="G32" s="21" t="str">
        <f>"Q_"&amp;IF(Units="US CUSTOMARY","Ton","t")&amp;" Unit Price"</f>
        <v>Q_Ton Unit Price</v>
      </c>
      <c r="H32" s="21" t="s">
        <v>1</v>
      </c>
    </row>
    <row r="33" spans="1:8" ht="13.5" thickTop="1" x14ac:dyDescent="0.2">
      <c r="A33" s="23">
        <v>401</v>
      </c>
      <c r="B33" s="24" t="s">
        <v>2</v>
      </c>
      <c r="C33" s="24"/>
      <c r="D33" s="3"/>
      <c r="E33" s="247"/>
      <c r="F33" s="4"/>
      <c r="G33" s="26" t="str">
        <f>IF(ISNUMBER(F33),ROUND(F33*0.06,2),"-")</f>
        <v>-</v>
      </c>
      <c r="H33" s="26" t="str">
        <f>IF(AND(ISNUMBER(D33),ISNUMBER(F33)),D33*G33,"-")</f>
        <v>-</v>
      </c>
    </row>
    <row r="34" spans="1:8" ht="6" customHeight="1" x14ac:dyDescent="0.2">
      <c r="A34" s="23"/>
      <c r="B34" s="24"/>
      <c r="C34" s="24"/>
      <c r="D34" s="247"/>
      <c r="E34" s="247"/>
      <c r="F34" s="248"/>
      <c r="G34" s="26"/>
      <c r="H34" s="26"/>
    </row>
    <row r="35" spans="1:8" x14ac:dyDescent="0.2">
      <c r="A35" s="23">
        <v>402</v>
      </c>
      <c r="B35" s="24" t="str">
        <f>IF(FP="FP-03","Hot ACP By Hveem or Marshall Mix Design","ACP By Hveem or Marshall Mix Design")</f>
        <v>ACP By Hveem or Marshall Mix Design</v>
      </c>
      <c r="C35" s="24"/>
      <c r="D35" s="3"/>
      <c r="E35" s="247"/>
      <c r="F35" s="4"/>
      <c r="G35" s="26" t="str">
        <f>IF(ISNUMBER(F35),ROUND(F35*0.06,2),"-")</f>
        <v>-</v>
      </c>
      <c r="H35" s="26" t="str">
        <f>IF(AND(ISNUMBER(D35),ISNUMBER(F35)),D35*G35,"-")</f>
        <v>-</v>
      </c>
    </row>
    <row r="36" spans="1:8" x14ac:dyDescent="0.2">
      <c r="A36" s="23"/>
      <c r="B36" s="24"/>
      <c r="C36" s="24"/>
      <c r="D36" s="25"/>
      <c r="E36" s="25"/>
      <c r="F36" s="27"/>
      <c r="G36" s="26"/>
      <c r="H36" s="26"/>
    </row>
    <row r="37" spans="1:8" x14ac:dyDescent="0.2">
      <c r="A37" s="7"/>
      <c r="B37" s="7"/>
      <c r="C37" s="7"/>
      <c r="D37" s="8"/>
      <c r="E37" s="8"/>
      <c r="F37" s="9"/>
      <c r="G37" s="9"/>
      <c r="H37" s="9"/>
    </row>
    <row r="38" spans="1:8" s="31" customFormat="1" x14ac:dyDescent="0.2">
      <c r="A38" s="302" t="s">
        <v>9</v>
      </c>
      <c r="B38" s="302"/>
      <c r="C38" s="302"/>
      <c r="D38" s="302"/>
      <c r="E38" s="302"/>
      <c r="F38" s="302"/>
      <c r="G38" s="302"/>
      <c r="H38" s="30">
        <f>SUM(H13,H15,H17,H19,H21,H23,H25,H27,H33,H35)</f>
        <v>0</v>
      </c>
    </row>
    <row r="39" spans="1:8" x14ac:dyDescent="0.2">
      <c r="A39" s="32"/>
      <c r="B39" s="32"/>
      <c r="C39" s="32"/>
      <c r="D39" s="32"/>
      <c r="E39" s="32"/>
      <c r="F39" s="32"/>
      <c r="G39" s="32"/>
      <c r="H39" s="33"/>
    </row>
    <row r="40" spans="1:8" x14ac:dyDescent="0.2">
      <c r="A40" s="32"/>
      <c r="B40" s="32"/>
      <c r="C40" s="32"/>
      <c r="D40" s="32"/>
      <c r="E40" s="32"/>
      <c r="F40" s="32"/>
      <c r="G40" s="32"/>
      <c r="H40" s="33"/>
    </row>
    <row r="41" spans="1:8" x14ac:dyDescent="0.2">
      <c r="A41" s="32"/>
      <c r="B41" s="32"/>
      <c r="C41" s="32"/>
      <c r="D41" s="32"/>
      <c r="E41" s="32"/>
      <c r="F41" s="32"/>
      <c r="G41" s="32"/>
      <c r="H41" s="33"/>
    </row>
    <row r="42" spans="1:8" ht="13.5" thickBot="1" x14ac:dyDescent="0.25">
      <c r="A42" s="7"/>
      <c r="B42" s="7"/>
      <c r="C42" s="7"/>
      <c r="D42" s="8"/>
      <c r="E42" s="8"/>
      <c r="F42" s="9"/>
      <c r="G42" s="9"/>
      <c r="H42" s="9"/>
    </row>
    <row r="43" spans="1:8" ht="18.75" thickBot="1" x14ac:dyDescent="0.25">
      <c r="A43" s="301" t="s">
        <v>17</v>
      </c>
      <c r="B43" s="301"/>
      <c r="C43" s="301"/>
      <c r="D43" s="301"/>
      <c r="E43" s="301"/>
      <c r="F43" s="301"/>
      <c r="G43" s="301"/>
      <c r="H43" s="301"/>
    </row>
    <row r="44" spans="1:8" x14ac:dyDescent="0.2">
      <c r="A44" s="29" t="s">
        <v>13</v>
      </c>
      <c r="B44" s="29"/>
      <c r="C44" s="29"/>
      <c r="D44" s="29" t="s">
        <v>12</v>
      </c>
      <c r="E44" s="29"/>
      <c r="F44" s="29"/>
      <c r="G44" s="29"/>
      <c r="H44" s="29"/>
    </row>
    <row r="45" spans="1:8" ht="13.5" thickBot="1" x14ac:dyDescent="0.25">
      <c r="A45" s="19" t="s">
        <v>14</v>
      </c>
      <c r="B45" s="20" t="s">
        <v>7</v>
      </c>
      <c r="C45" s="20"/>
      <c r="D45" s="22" t="str">
        <f>"Lane-"&amp;IF(Units="US CUSTOMARY","miles","kilometers")</f>
        <v>Lane-miles</v>
      </c>
      <c r="E45" s="22"/>
      <c r="F45" s="21"/>
      <c r="G45" s="21"/>
      <c r="H45" s="21" t="s">
        <v>1</v>
      </c>
    </row>
    <row r="46" spans="1:8" ht="13.5" thickTop="1" x14ac:dyDescent="0.2">
      <c r="A46" s="23">
        <v>401</v>
      </c>
      <c r="B46" s="7" t="s">
        <v>2</v>
      </c>
      <c r="C46" s="7"/>
      <c r="D46" s="5" t="s">
        <v>152</v>
      </c>
      <c r="E46" s="34"/>
      <c r="F46" s="26"/>
      <c r="G46" s="26"/>
      <c r="H46" s="26" t="str">
        <f>IF(ISNUMBER(D46),(IF(Units="US CUSTOMARY",80000,49600)*(1.05-1)*D46),"-")</f>
        <v>-</v>
      </c>
    </row>
    <row r="47" spans="1:8" ht="6" customHeight="1" x14ac:dyDescent="0.2">
      <c r="A47" s="23"/>
      <c r="B47" s="7"/>
      <c r="C47" s="7"/>
      <c r="D47" s="249"/>
      <c r="E47" s="34"/>
      <c r="F47" s="26"/>
      <c r="G47" s="26"/>
      <c r="H47" s="26"/>
    </row>
    <row r="48" spans="1:8" x14ac:dyDescent="0.2">
      <c r="A48" s="23">
        <v>402</v>
      </c>
      <c r="B48" s="7" t="str">
        <f>IF(FP="FP-03","Hot ACP By Hveem or Marshall Mix Design","ACP By Hveem or Marshall Mix Design")</f>
        <v>ACP By Hveem or Marshall Mix Design</v>
      </c>
      <c r="C48" s="7"/>
      <c r="D48" s="5"/>
      <c r="E48" s="34"/>
      <c r="F48" s="26"/>
      <c r="G48" s="26"/>
      <c r="H48" s="26" t="str">
        <f>IF(ISNUMBER(D48),(IF(Units="US CUSTOMARY",80000,49600)*(1.05-1)*D48),"-")</f>
        <v>-</v>
      </c>
    </row>
    <row r="49" spans="1:8" x14ac:dyDescent="0.2">
      <c r="A49" s="23"/>
      <c r="B49" s="7"/>
      <c r="C49" s="7"/>
      <c r="D49" s="34"/>
      <c r="E49" s="34"/>
      <c r="F49" s="26"/>
      <c r="G49" s="26"/>
      <c r="H49" s="26"/>
    </row>
    <row r="50" spans="1:8" x14ac:dyDescent="0.2">
      <c r="A50" s="7"/>
      <c r="B50" s="7"/>
      <c r="C50" s="7"/>
      <c r="D50" s="8"/>
      <c r="E50" s="8"/>
      <c r="F50" s="9"/>
      <c r="G50" s="9"/>
      <c r="H50" s="9"/>
    </row>
    <row r="51" spans="1:8" x14ac:dyDescent="0.2">
      <c r="A51" s="302" t="s">
        <v>10</v>
      </c>
      <c r="B51" s="302"/>
      <c r="C51" s="302"/>
      <c r="D51" s="302"/>
      <c r="E51" s="302"/>
      <c r="F51" s="302"/>
      <c r="G51" s="302"/>
      <c r="H51" s="35">
        <f>SUM(H46,H48)</f>
        <v>0</v>
      </c>
    </row>
    <row r="52" spans="1:8" x14ac:dyDescent="0.2">
      <c r="A52" s="7"/>
      <c r="B52" s="7"/>
      <c r="C52" s="7"/>
      <c r="D52" s="8"/>
      <c r="E52" s="8"/>
      <c r="F52" s="9"/>
      <c r="G52" s="36"/>
      <c r="H52" s="37"/>
    </row>
    <row r="53" spans="1:8" x14ac:dyDescent="0.2">
      <c r="A53" s="7"/>
      <c r="B53" s="7"/>
      <c r="C53" s="7"/>
      <c r="D53" s="8"/>
      <c r="E53" s="8"/>
      <c r="F53" s="9"/>
      <c r="G53" s="36"/>
      <c r="H53" s="37"/>
    </row>
    <row r="54" spans="1:8" x14ac:dyDescent="0.2">
      <c r="A54" s="7"/>
      <c r="B54" s="7"/>
      <c r="C54" s="7"/>
      <c r="D54" s="8"/>
      <c r="E54" s="8"/>
      <c r="F54" s="9"/>
      <c r="G54" s="36"/>
      <c r="H54" s="37"/>
    </row>
    <row r="55" spans="1:8" x14ac:dyDescent="0.2">
      <c r="A55" s="7"/>
      <c r="B55" s="7"/>
      <c r="C55" s="7"/>
      <c r="D55" s="8"/>
      <c r="E55" s="8"/>
      <c r="F55" s="9"/>
      <c r="G55" s="36"/>
      <c r="H55" s="37"/>
    </row>
    <row r="56" spans="1:8" x14ac:dyDescent="0.2">
      <c r="A56" s="7"/>
      <c r="B56" s="7"/>
      <c r="C56" s="7"/>
      <c r="D56" s="8"/>
      <c r="E56" s="8"/>
      <c r="F56" s="9"/>
      <c r="G56" s="36"/>
      <c r="H56" s="37"/>
    </row>
    <row r="57" spans="1:8" x14ac:dyDescent="0.2">
      <c r="A57" s="7"/>
      <c r="B57" s="7"/>
      <c r="C57" s="7"/>
      <c r="D57" s="8"/>
      <c r="E57" s="8"/>
      <c r="F57" s="9"/>
      <c r="G57" s="36"/>
      <c r="H57" s="37"/>
    </row>
    <row r="58" spans="1:8" x14ac:dyDescent="0.2">
      <c r="A58" s="7"/>
      <c r="B58" s="7"/>
      <c r="C58" s="7"/>
      <c r="D58" s="8"/>
      <c r="E58" s="8"/>
      <c r="F58" s="9"/>
      <c r="G58" s="9"/>
      <c r="H58" s="9"/>
    </row>
    <row r="59" spans="1:8" x14ac:dyDescent="0.2">
      <c r="A59" s="7"/>
      <c r="B59" s="7"/>
      <c r="C59" s="7"/>
      <c r="D59" s="8"/>
      <c r="E59" s="8"/>
      <c r="F59" s="9"/>
      <c r="G59" s="9"/>
      <c r="H59" s="9"/>
    </row>
    <row r="60" spans="1:8" x14ac:dyDescent="0.2">
      <c r="A60" s="40" t="s">
        <v>18</v>
      </c>
      <c r="B60" s="41" t="s">
        <v>19</v>
      </c>
      <c r="C60" s="41"/>
      <c r="D60" s="8"/>
      <c r="E60" s="8"/>
      <c r="F60" s="9"/>
      <c r="G60" s="9"/>
      <c r="H60" s="9"/>
    </row>
    <row r="61" spans="1:8" x14ac:dyDescent="0.2">
      <c r="A61" s="41"/>
      <c r="B61" s="41" t="s">
        <v>20</v>
      </c>
      <c r="C61" s="41"/>
      <c r="D61" s="8"/>
      <c r="E61" s="8"/>
      <c r="F61" s="9"/>
      <c r="G61" s="9"/>
      <c r="H61" s="9"/>
    </row>
    <row r="62" spans="1:8" x14ac:dyDescent="0.2">
      <c r="A62" s="41"/>
      <c r="B62" s="41"/>
      <c r="C62" s="41"/>
      <c r="D62" s="8"/>
      <c r="E62" s="8"/>
      <c r="F62" s="9"/>
      <c r="G62" s="9"/>
      <c r="H62" s="9"/>
    </row>
    <row r="63" spans="1:8" x14ac:dyDescent="0.2">
      <c r="A63" s="40" t="s">
        <v>21</v>
      </c>
      <c r="B63" s="41" t="s">
        <v>22</v>
      </c>
      <c r="C63" s="41"/>
      <c r="D63" s="8"/>
      <c r="E63" s="8"/>
      <c r="F63" s="9"/>
      <c r="G63" s="9"/>
      <c r="H63" s="9"/>
    </row>
    <row r="64" spans="1:8" x14ac:dyDescent="0.2">
      <c r="A64" s="41"/>
      <c r="B64" s="41" t="s">
        <v>20</v>
      </c>
      <c r="C64" s="41"/>
      <c r="D64" s="8"/>
      <c r="E64" s="8"/>
      <c r="F64" s="9"/>
      <c r="G64" s="9"/>
      <c r="H64" s="9"/>
    </row>
    <row r="65" spans="1:8" x14ac:dyDescent="0.2">
      <c r="A65" s="41"/>
      <c r="B65" s="41"/>
      <c r="C65" s="41"/>
      <c r="D65" s="8"/>
      <c r="E65" s="8"/>
      <c r="F65" s="9"/>
      <c r="G65" s="9"/>
      <c r="H65" s="9"/>
    </row>
    <row r="66" spans="1:8" x14ac:dyDescent="0.2">
      <c r="A66" s="40" t="s">
        <v>23</v>
      </c>
      <c r="B66" s="41" t="str">
        <f>"Incentive Amt = (Lane-"&amp;IF(Units="US CUSTOMARY","miles","kilometers")&amp;" x "&amp;IF(Units="US CUSTOMARY","80,000 x 0.05)","49,600 x 0.05)")</f>
        <v>Incentive Amt = (Lane-miles x 80,000 x 0.05)</v>
      </c>
      <c r="C66" s="41"/>
      <c r="D66" s="8"/>
      <c r="E66" s="8"/>
      <c r="F66" s="9"/>
      <c r="G66" s="9"/>
      <c r="H66" s="9"/>
    </row>
    <row r="67" spans="1:8" ht="18" x14ac:dyDescent="0.25">
      <c r="A67" s="298" t="s">
        <v>28</v>
      </c>
      <c r="B67" s="298"/>
      <c r="C67" s="298"/>
      <c r="D67" s="298"/>
      <c r="E67" s="298"/>
      <c r="F67" s="298"/>
      <c r="G67" s="298"/>
      <c r="H67" s="298"/>
    </row>
    <row r="68" spans="1:8" x14ac:dyDescent="0.2">
      <c r="A68" s="7"/>
      <c r="B68" s="7"/>
      <c r="C68" s="11" t="s">
        <v>24</v>
      </c>
      <c r="D68" s="12" t="str">
        <f>IF(FP="FP-03","FP-03","FP-14")</f>
        <v>FP-14</v>
      </c>
      <c r="E68" s="8"/>
      <c r="F68" s="9"/>
      <c r="G68" s="9"/>
      <c r="H68" s="9"/>
    </row>
    <row r="69" spans="1:8" x14ac:dyDescent="0.2">
      <c r="A69" s="7"/>
      <c r="B69" s="7"/>
      <c r="C69" s="7"/>
      <c r="D69" s="10"/>
      <c r="E69" s="8"/>
      <c r="F69" s="9"/>
      <c r="G69" s="9"/>
      <c r="H69" s="9"/>
    </row>
    <row r="70" spans="1:8" x14ac:dyDescent="0.2">
      <c r="A70" s="11" t="s">
        <v>3</v>
      </c>
      <c r="B70" s="294" t="str">
        <f>+B4</f>
        <v>Enter Project Number</v>
      </c>
      <c r="C70" s="294"/>
      <c r="D70" s="12"/>
      <c r="E70" s="12"/>
      <c r="F70" s="13"/>
      <c r="G70" s="14" t="s">
        <v>5</v>
      </c>
      <c r="H70" s="15">
        <f ca="1" xml:space="preserve"> TODAY()</f>
        <v>43503</v>
      </c>
    </row>
    <row r="71" spans="1:8" ht="4.5" customHeight="1" x14ac:dyDescent="0.2">
      <c r="A71" s="11"/>
      <c r="B71" s="294"/>
      <c r="C71" s="294"/>
      <c r="D71" s="12"/>
      <c r="E71" s="12"/>
      <c r="F71" s="13"/>
      <c r="G71" s="14"/>
      <c r="H71" s="15"/>
    </row>
    <row r="72" spans="1:8" x14ac:dyDescent="0.2">
      <c r="A72" s="11" t="s">
        <v>4</v>
      </c>
      <c r="B72" s="303" t="str">
        <f>+B6</f>
        <v>Enter Project name</v>
      </c>
      <c r="C72" s="303"/>
      <c r="D72" s="303"/>
      <c r="E72" s="303"/>
      <c r="F72" s="303"/>
      <c r="G72" s="14" t="str">
        <f>+G6</f>
        <v xml:space="preserve">Schedule: </v>
      </c>
      <c r="H72" s="17" t="str">
        <f>+H6</f>
        <v>C</v>
      </c>
    </row>
    <row r="73" spans="1:8" x14ac:dyDescent="0.2">
      <c r="A73" s="7"/>
      <c r="B73" s="7"/>
      <c r="C73" s="7"/>
      <c r="D73" s="8"/>
      <c r="E73" s="8"/>
      <c r="F73" s="9"/>
      <c r="G73" s="14" t="s">
        <v>8</v>
      </c>
      <c r="H73" s="13" t="str">
        <f>+Units</f>
        <v>US CUSTOMARY</v>
      </c>
    </row>
    <row r="74" spans="1:8" ht="6.75" customHeight="1" thickBot="1" x14ac:dyDescent="0.25">
      <c r="A74" s="7"/>
      <c r="B74" s="7"/>
      <c r="C74" s="7"/>
      <c r="D74" s="8"/>
      <c r="E74" s="8"/>
      <c r="F74" s="9"/>
      <c r="G74" s="14"/>
      <c r="H74" s="13"/>
    </row>
    <row r="75" spans="1:8" ht="19.5" customHeight="1" thickBot="1" x14ac:dyDescent="0.25">
      <c r="A75" s="231" t="s">
        <v>33</v>
      </c>
      <c r="B75" s="232"/>
      <c r="C75" s="232"/>
      <c r="D75" s="232"/>
      <c r="E75" s="232"/>
      <c r="F75" s="232"/>
      <c r="G75" s="232"/>
      <c r="H75" s="233"/>
    </row>
    <row r="76" spans="1:8" ht="5.25" customHeight="1" x14ac:dyDescent="0.2">
      <c r="A76" s="18"/>
      <c r="B76" s="44"/>
      <c r="C76" s="44"/>
      <c r="D76" s="45"/>
      <c r="E76" s="46"/>
      <c r="F76" s="45"/>
      <c r="G76" s="45"/>
      <c r="H76" s="45"/>
    </row>
    <row r="77" spans="1:8" x14ac:dyDescent="0.2">
      <c r="A77" s="57" t="s">
        <v>29</v>
      </c>
      <c r="B77" s="58"/>
      <c r="C77" s="59" t="s">
        <v>89</v>
      </c>
      <c r="D77" s="60" t="str">
        <f>IF(Units="US CUSTOMARY"," CUYD"," m3")</f>
        <v xml:space="preserve"> CUYD</v>
      </c>
      <c r="E77" s="61"/>
      <c r="F77" s="62" t="s">
        <v>32</v>
      </c>
      <c r="G77" s="45"/>
      <c r="H77" s="45"/>
    </row>
    <row r="78" spans="1:8" x14ac:dyDescent="0.2">
      <c r="A78" s="189">
        <v>20401</v>
      </c>
      <c r="B78" s="190" t="s">
        <v>30</v>
      </c>
      <c r="C78" s="308">
        <f>IF(Units="US Customary", 0.3, 0.39)</f>
        <v>0.3</v>
      </c>
      <c r="D78" s="192"/>
      <c r="E78" s="193"/>
      <c r="F78" s="210" t="str">
        <f>IF(ISNUMBER(D78),+C$78*D78, "-")</f>
        <v>-</v>
      </c>
      <c r="G78" s="26"/>
      <c r="H78" s="26"/>
    </row>
    <row r="79" spans="1:8" x14ac:dyDescent="0.2">
      <c r="A79" s="189">
        <v>20402</v>
      </c>
      <c r="B79" s="190" t="s">
        <v>35</v>
      </c>
      <c r="C79" s="309"/>
      <c r="D79" s="192"/>
      <c r="E79" s="193"/>
      <c r="F79" s="210" t="str">
        <f t="shared" ref="F79:F87" si="2">IF(ISNUMBER(D79),+C$78*D79, "-")</f>
        <v>-</v>
      </c>
      <c r="G79" s="26"/>
      <c r="H79" s="26"/>
    </row>
    <row r="80" spans="1:8" x14ac:dyDescent="0.2">
      <c r="A80" s="189">
        <v>20403</v>
      </c>
      <c r="B80" s="190" t="s">
        <v>31</v>
      </c>
      <c r="C80" s="309"/>
      <c r="D80" s="192"/>
      <c r="E80" s="193"/>
      <c r="F80" s="210" t="str">
        <f t="shared" si="2"/>
        <v>-</v>
      </c>
      <c r="G80" s="26"/>
      <c r="H80" s="26"/>
    </row>
    <row r="81" spans="1:8" x14ac:dyDescent="0.2">
      <c r="A81" s="189">
        <v>20404</v>
      </c>
      <c r="B81" s="191" t="s">
        <v>38</v>
      </c>
      <c r="C81" s="309"/>
      <c r="D81" s="192"/>
      <c r="E81" s="193"/>
      <c r="F81" s="210" t="str">
        <f t="shared" si="2"/>
        <v>-</v>
      </c>
      <c r="G81" s="26"/>
      <c r="H81" s="26"/>
    </row>
    <row r="82" spans="1:8" x14ac:dyDescent="0.2">
      <c r="A82" s="189">
        <v>20410</v>
      </c>
      <c r="B82" s="191" t="s">
        <v>34</v>
      </c>
      <c r="C82" s="309"/>
      <c r="D82" s="192"/>
      <c r="E82" s="193"/>
      <c r="F82" s="210" t="str">
        <f t="shared" si="2"/>
        <v>-</v>
      </c>
      <c r="G82" s="26"/>
      <c r="H82" s="26"/>
    </row>
    <row r="83" spans="1:8" x14ac:dyDescent="0.2">
      <c r="A83" s="189">
        <v>20411</v>
      </c>
      <c r="B83" s="191" t="s">
        <v>39</v>
      </c>
      <c r="C83" s="309"/>
      <c r="D83" s="192"/>
      <c r="E83" s="193"/>
      <c r="F83" s="210" t="str">
        <f t="shared" si="2"/>
        <v>-</v>
      </c>
      <c r="G83" s="26"/>
      <c r="H83" s="26"/>
    </row>
    <row r="84" spans="1:8" x14ac:dyDescent="0.2">
      <c r="A84" s="189">
        <v>20415</v>
      </c>
      <c r="B84" s="191" t="s">
        <v>36</v>
      </c>
      <c r="C84" s="309"/>
      <c r="D84" s="192"/>
      <c r="E84" s="193"/>
      <c r="F84" s="210" t="str">
        <f t="shared" si="2"/>
        <v>-</v>
      </c>
      <c r="G84" s="26"/>
      <c r="H84" s="26"/>
    </row>
    <row r="85" spans="1:8" x14ac:dyDescent="0.2">
      <c r="A85" s="189">
        <v>20416</v>
      </c>
      <c r="B85" s="191" t="s">
        <v>40</v>
      </c>
      <c r="C85" s="309"/>
      <c r="D85" s="192"/>
      <c r="E85" s="193"/>
      <c r="F85" s="210" t="str">
        <f t="shared" si="2"/>
        <v>-</v>
      </c>
      <c r="G85" s="26"/>
      <c r="H85" s="26"/>
    </row>
    <row r="86" spans="1:8" x14ac:dyDescent="0.2">
      <c r="A86" s="189">
        <v>20420</v>
      </c>
      <c r="B86" s="191" t="s">
        <v>136</v>
      </c>
      <c r="C86" s="309"/>
      <c r="D86" s="192"/>
      <c r="E86" s="193"/>
      <c r="F86" s="210" t="str">
        <f t="shared" si="2"/>
        <v>-</v>
      </c>
      <c r="G86" s="26"/>
      <c r="H86" s="26"/>
    </row>
    <row r="87" spans="1:8" x14ac:dyDescent="0.2">
      <c r="A87" s="189">
        <v>20421</v>
      </c>
      <c r="B87" s="191" t="s">
        <v>37</v>
      </c>
      <c r="C87" s="309"/>
      <c r="D87" s="192"/>
      <c r="E87" s="193"/>
      <c r="F87" s="210" t="str">
        <f t="shared" si="2"/>
        <v>-</v>
      </c>
      <c r="G87" s="26"/>
      <c r="H87" s="26"/>
    </row>
    <row r="88" spans="1:8" x14ac:dyDescent="0.2">
      <c r="A88" s="63" t="s">
        <v>45</v>
      </c>
      <c r="B88" s="64"/>
      <c r="C88" s="59" t="s">
        <v>89</v>
      </c>
      <c r="D88" s="60" t="str">
        <f>IF(Units="US CUSTOMARY"," Tons"," tonnes")</f>
        <v xml:space="preserve"> Tons</v>
      </c>
      <c r="E88" s="61"/>
      <c r="F88" s="62" t="s">
        <v>32</v>
      </c>
      <c r="G88" s="26"/>
      <c r="H88" s="26"/>
    </row>
    <row r="89" spans="1:8" x14ac:dyDescent="0.2">
      <c r="A89" s="189">
        <v>30101</v>
      </c>
      <c r="B89" s="191" t="s">
        <v>41</v>
      </c>
      <c r="C89" s="310">
        <f>IF(Units="US Customary", 0.7, 0.77)</f>
        <v>0.7</v>
      </c>
      <c r="D89" s="192"/>
      <c r="E89" s="193"/>
      <c r="F89" s="210" t="str">
        <f>IF(ISNUMBER(D89),+C$89*D89, "-")</f>
        <v>-</v>
      </c>
      <c r="G89" s="26"/>
      <c r="H89" s="26"/>
    </row>
    <row r="90" spans="1:8" x14ac:dyDescent="0.2">
      <c r="A90" s="189">
        <v>30102</v>
      </c>
      <c r="B90" s="191" t="s">
        <v>42</v>
      </c>
      <c r="C90" s="311"/>
      <c r="D90" s="192"/>
      <c r="E90" s="193"/>
      <c r="F90" s="210" t="str">
        <f t="shared" ref="F90:F97" si="3">IF(ISNUMBER(D90),+C$89*D90, "-")</f>
        <v>-</v>
      </c>
      <c r="G90" s="26"/>
      <c r="H90" s="26"/>
    </row>
    <row r="91" spans="1:8" x14ac:dyDescent="0.2">
      <c r="A91" s="189">
        <v>30103</v>
      </c>
      <c r="B91" s="191" t="s">
        <v>42</v>
      </c>
      <c r="C91" s="311"/>
      <c r="D91" s="192"/>
      <c r="E91" s="193"/>
      <c r="F91" s="210" t="str">
        <f t="shared" si="3"/>
        <v>-</v>
      </c>
      <c r="G91" s="26"/>
      <c r="H91" s="26"/>
    </row>
    <row r="92" spans="1:8" x14ac:dyDescent="0.2">
      <c r="A92" s="237">
        <v>30105</v>
      </c>
      <c r="B92" s="238" t="s">
        <v>43</v>
      </c>
      <c r="C92" s="311"/>
      <c r="D92" s="192"/>
      <c r="E92" s="193"/>
      <c r="F92" s="210" t="str">
        <f t="shared" si="3"/>
        <v>-</v>
      </c>
      <c r="G92" s="26"/>
      <c r="H92" s="26"/>
    </row>
    <row r="93" spans="1:8" x14ac:dyDescent="0.2">
      <c r="A93" s="237">
        <v>30106</v>
      </c>
      <c r="B93" s="238" t="s">
        <v>44</v>
      </c>
      <c r="C93" s="311"/>
      <c r="D93" s="192"/>
      <c r="E93" s="193"/>
      <c r="F93" s="210" t="str">
        <f t="shared" si="3"/>
        <v>-</v>
      </c>
      <c r="G93" s="26"/>
      <c r="H93" s="26"/>
    </row>
    <row r="94" spans="1:8" x14ac:dyDescent="0.2">
      <c r="A94" s="237">
        <v>30107</v>
      </c>
      <c r="B94" s="238" t="s">
        <v>44</v>
      </c>
      <c r="C94" s="311"/>
      <c r="D94" s="192"/>
      <c r="E94" s="193"/>
      <c r="F94" s="210" t="str">
        <f t="shared" si="3"/>
        <v>-</v>
      </c>
      <c r="G94" s="26"/>
      <c r="H94" s="26"/>
    </row>
    <row r="95" spans="1:8" x14ac:dyDescent="0.2">
      <c r="A95" s="237">
        <v>30110</v>
      </c>
      <c r="B95" s="238" t="s">
        <v>137</v>
      </c>
      <c r="C95" s="311"/>
      <c r="D95" s="192"/>
      <c r="E95" s="193"/>
      <c r="F95" s="210" t="str">
        <f t="shared" si="3"/>
        <v>-</v>
      </c>
      <c r="G95" s="26"/>
      <c r="H95" s="26"/>
    </row>
    <row r="96" spans="1:8" x14ac:dyDescent="0.2">
      <c r="A96" s="237">
        <v>30111</v>
      </c>
      <c r="B96" s="238" t="s">
        <v>138</v>
      </c>
      <c r="C96" s="311"/>
      <c r="D96" s="192"/>
      <c r="E96" s="193"/>
      <c r="F96" s="210" t="str">
        <f t="shared" si="3"/>
        <v>-</v>
      </c>
      <c r="G96" s="26"/>
      <c r="H96" s="26"/>
    </row>
    <row r="97" spans="1:8" x14ac:dyDescent="0.2">
      <c r="A97" s="237">
        <v>30112</v>
      </c>
      <c r="B97" s="238" t="s">
        <v>138</v>
      </c>
      <c r="C97" s="311"/>
      <c r="D97" s="192"/>
      <c r="E97" s="193"/>
      <c r="F97" s="210" t="str">
        <f t="shared" si="3"/>
        <v>-</v>
      </c>
      <c r="G97" s="26"/>
      <c r="H97" s="26"/>
    </row>
    <row r="98" spans="1:8" x14ac:dyDescent="0.2">
      <c r="A98" s="63" t="str">
        <f>IF(FP="FP-03","Section 302 - Untreated Aggregate Courses","Section 305 - Full Depth reclamation (FDR) with Cement")</f>
        <v>Section 305 - Full Depth reclamation (FDR) with Cement</v>
      </c>
      <c r="B98" s="64"/>
      <c r="C98" s="59" t="s">
        <v>89</v>
      </c>
      <c r="D98" s="60" t="str">
        <f>IF(Units="US CUSTOMARY",(VLOOKUP(A100,'VLookup table'!A1:E6,4)),(VLOOKUP(A100,'VLookup table'!A1:E6,5)))</f>
        <v>SQYD</v>
      </c>
      <c r="E98" s="65"/>
      <c r="F98" s="62" t="s">
        <v>32</v>
      </c>
      <c r="G98" s="26"/>
      <c r="H98" s="26"/>
    </row>
    <row r="99" spans="1:8" x14ac:dyDescent="0.2">
      <c r="A99" s="189" t="str">
        <f>IF(FP="FP-03","30201","30501")</f>
        <v>30501</v>
      </c>
      <c r="B99" s="190" t="str">
        <f>IF(FP="FP-03","Treated aggregate course","FDR with cement*")</f>
        <v>FDR with cement*</v>
      </c>
      <c r="C99" s="311">
        <f>IF(Units="US CUSTOMARY",(VLOOKUP(A100,'VLookup table'!A2:G8,6)),(VLOOKUP(A100,'VLookup table'!A2:G8,7)))</f>
        <v>0.3</v>
      </c>
      <c r="D99" s="192"/>
      <c r="E99" s="193"/>
      <c r="F99" s="210" t="str">
        <f>IF(ISNUMBER(D99),+C$99*D99, "-")</f>
        <v>-</v>
      </c>
      <c r="G99" s="26"/>
      <c r="H99" s="26"/>
    </row>
    <row r="100" spans="1:8" x14ac:dyDescent="0.2">
      <c r="A100" s="189" t="str">
        <f>IF(FP="FP-03","30202","30502")</f>
        <v>30502</v>
      </c>
      <c r="B100" s="190" t="str">
        <f>IF(FP="FP-03","Treated aggregate course*","FDR with cement")</f>
        <v>FDR with cement</v>
      </c>
      <c r="C100" s="311"/>
      <c r="D100" s="192"/>
      <c r="E100" s="193"/>
      <c r="F100" s="210" t="str">
        <f>IF(ISNUMBER(D100),+C$99*D100, "-")</f>
        <v>-</v>
      </c>
      <c r="G100" s="26"/>
      <c r="H100" s="26"/>
    </row>
    <row r="101" spans="1:8" x14ac:dyDescent="0.2">
      <c r="A101" s="63" t="str">
        <f>IF(FP="FP-03","Section 304 - Aggregate Stabilization","Section 306 - Full Depth Reclamation (FDR) with Asphalt")</f>
        <v>Section 306 - Full Depth Reclamation (FDR) with Asphalt</v>
      </c>
      <c r="B101" s="66"/>
      <c r="C101" s="59" t="s">
        <v>89</v>
      </c>
      <c r="D101" s="60" t="str">
        <f>IF(Units="US CUSTOMARY",(VLOOKUP(A103,'VLookup table'!A7:E17,4)),(VLOOKUP(A103,'VLookup table'!A7:E17,5)))</f>
        <v>SQYD</v>
      </c>
      <c r="E101" s="65"/>
      <c r="F101" s="62" t="s">
        <v>32</v>
      </c>
      <c r="G101" s="26"/>
      <c r="H101" s="26"/>
    </row>
    <row r="102" spans="1:8" x14ac:dyDescent="0.2">
      <c r="A102" s="189" t="str">
        <f>IF(FP="FP-03","30401","30601")</f>
        <v>30601</v>
      </c>
      <c r="B102" s="194" t="str">
        <f>IF(FP="FP-03","Aggregate stabilzation imported aggregate","FDR with emulsified asphalt*")</f>
        <v>FDR with emulsified asphalt*</v>
      </c>
      <c r="C102" s="310">
        <f>IF(Units="US CUSTOMARY",(VLOOKUP(A103,'VLookup table'!A2:G8,6)),(VLOOKUP(A103,'VLookup table'!A2:G8,7)))</f>
        <v>0.3</v>
      </c>
      <c r="D102" s="192"/>
      <c r="E102" s="193"/>
      <c r="F102" s="210" t="str">
        <f>IF(ISNUMBER(D102),+C$102*D102, "-")</f>
        <v>-</v>
      </c>
      <c r="G102" s="74"/>
      <c r="H102" s="26"/>
    </row>
    <row r="103" spans="1:8" x14ac:dyDescent="0.2">
      <c r="A103" s="189" t="str">
        <f>IF(FP="FP-03","30402","30602")</f>
        <v>30602</v>
      </c>
      <c r="B103" s="194" t="str">
        <f>IF(FP="FP-03","Aggregate stabilzation imported aggregate*","FDR with emulsified asphalt")</f>
        <v>FDR with emulsified asphalt</v>
      </c>
      <c r="C103" s="311"/>
      <c r="D103" s="192"/>
      <c r="E103" s="193"/>
      <c r="F103" s="210" t="str">
        <f t="shared" ref="F103:F106" si="4">IF(ISNUMBER(D103),+C$102*D103, "-")</f>
        <v>-</v>
      </c>
      <c r="G103" s="74"/>
      <c r="H103" s="26"/>
    </row>
    <row r="104" spans="1:8" x14ac:dyDescent="0.2">
      <c r="A104" s="189" t="str">
        <f>IF(FP="FP-03","30405","30603")</f>
        <v>30603</v>
      </c>
      <c r="B104" s="194" t="str">
        <f>IF(FP="FP-03","Aggregate stabilzation in-place aggregate*","FDR with foamed asphalt*")</f>
        <v>FDR with foamed asphalt*</v>
      </c>
      <c r="C104" s="311"/>
      <c r="D104" s="192"/>
      <c r="E104" s="193"/>
      <c r="F104" s="210" t="str">
        <f t="shared" si="4"/>
        <v>-</v>
      </c>
      <c r="G104" s="74"/>
      <c r="H104" s="26"/>
    </row>
    <row r="105" spans="1:8" ht="22.5" customHeight="1" x14ac:dyDescent="0.2">
      <c r="A105" s="195" t="str">
        <f>IF(FP="FP-03","30410","30604")</f>
        <v>30604</v>
      </c>
      <c r="B105" s="196" t="str">
        <f>IF(FP="FP-03","Aggregate stabilzation imported surface course*","FDR with foamed asphalt")</f>
        <v>FDR with foamed asphalt</v>
      </c>
      <c r="C105" s="311"/>
      <c r="D105" s="197"/>
      <c r="E105" s="198"/>
      <c r="F105" s="210" t="str">
        <f t="shared" si="4"/>
        <v>-</v>
      </c>
      <c r="G105" s="74"/>
      <c r="H105" s="26"/>
    </row>
    <row r="106" spans="1:8" ht="22.5" customHeight="1" x14ac:dyDescent="0.2">
      <c r="A106" s="195" t="str">
        <f>IF(FP="FP-03","30411","")</f>
        <v/>
      </c>
      <c r="B106" s="196" t="str">
        <f>IF(FP="FP-03","Aggregate stabilzation imported surface course*"," ")</f>
        <v xml:space="preserve"> </v>
      </c>
      <c r="C106" s="311"/>
      <c r="D106" s="197"/>
      <c r="E106" s="198"/>
      <c r="F106" s="210" t="str">
        <f t="shared" si="4"/>
        <v>-</v>
      </c>
      <c r="G106" s="74"/>
      <c r="H106" s="26"/>
    </row>
    <row r="107" spans="1:8" x14ac:dyDescent="0.2">
      <c r="A107" s="63" t="s">
        <v>139</v>
      </c>
      <c r="B107" s="66"/>
      <c r="C107" s="59" t="s">
        <v>89</v>
      </c>
      <c r="D107" s="60" t="str">
        <f>IF(Units="US CUSTOMARY"," Tons"," tonnes")</f>
        <v xml:space="preserve"> Tons</v>
      </c>
      <c r="E107" s="65"/>
      <c r="F107" s="67" t="s">
        <v>32</v>
      </c>
      <c r="G107" s="26"/>
      <c r="H107" s="26"/>
    </row>
    <row r="108" spans="1:8" x14ac:dyDescent="0.2">
      <c r="A108" s="189">
        <v>30901</v>
      </c>
      <c r="B108" s="239" t="s">
        <v>78</v>
      </c>
      <c r="C108" s="310">
        <f>IF(Units="US Customary", 0.7, 0.77)</f>
        <v>0.7</v>
      </c>
      <c r="D108" s="192"/>
      <c r="E108" s="193"/>
      <c r="F108" s="210" t="str">
        <f>IF(ISNUMBER(D108),+C$108*D108, "-")</f>
        <v>-</v>
      </c>
      <c r="G108" s="26"/>
      <c r="H108" s="26"/>
    </row>
    <row r="109" spans="1:8" x14ac:dyDescent="0.2">
      <c r="A109" s="189">
        <v>30902</v>
      </c>
      <c r="B109" s="239" t="s">
        <v>79</v>
      </c>
      <c r="C109" s="311"/>
      <c r="D109" s="192"/>
      <c r="E109" s="193"/>
      <c r="F109" s="210" t="str">
        <f t="shared" ref="F109:F110" si="5">IF(ISNUMBER(D109),+C$108*D109, "-")</f>
        <v>-</v>
      </c>
      <c r="G109" s="26"/>
      <c r="H109" s="26"/>
    </row>
    <row r="110" spans="1:8" x14ac:dyDescent="0.2">
      <c r="A110" s="189">
        <v>30903</v>
      </c>
      <c r="B110" s="239" t="s">
        <v>79</v>
      </c>
      <c r="C110" s="311"/>
      <c r="D110" s="192"/>
      <c r="E110" s="193"/>
      <c r="F110" s="210" t="str">
        <f t="shared" si="5"/>
        <v>-</v>
      </c>
      <c r="G110" s="26"/>
      <c r="H110" s="26"/>
    </row>
    <row r="111" spans="1:8" x14ac:dyDescent="0.2">
      <c r="A111" s="63" t="str">
        <f>IF(FP="FP-03","Section 401 - Superpave HACP","Section 310 - Cold In-Place (CIP) Recycled Asphalt Base")</f>
        <v>Section 310 - Cold In-Place (CIP) Recycled Asphalt Base</v>
      </c>
      <c r="B111" s="58"/>
      <c r="C111" s="59" t="s">
        <v>89</v>
      </c>
      <c r="D111" s="82" t="str">
        <f>IF(Units="US CUSTOMARY", (VLOOKUP(A113,'VLookup table'!A18:G27,4)),(VLOOKUP(A113,'VLookup table'!A18:G27,5)))</f>
        <v>SQYD</v>
      </c>
      <c r="E111" s="65"/>
      <c r="F111" s="67" t="s">
        <v>32</v>
      </c>
      <c r="G111" s="84"/>
      <c r="H111" s="26"/>
    </row>
    <row r="112" spans="1:8" x14ac:dyDescent="0.2">
      <c r="A112" s="189" t="str">
        <f>IF(FP="FP-03","40101","31001")</f>
        <v>31001</v>
      </c>
      <c r="B112" s="190" t="str">
        <f>IF(FP="FP-03","Superpave pavement","CIP recycled ashalt base*")</f>
        <v>CIP recycled ashalt base*</v>
      </c>
      <c r="C112" s="311">
        <f>IF(Units="US CUSTOMARY",(VLOOKUP(A113,'VLookup table'!A18:G27,6)),(VLOOKUP(A113,'VLookup table'!A18:G27,7)))</f>
        <v>0.15</v>
      </c>
      <c r="D112" s="192"/>
      <c r="E112" s="193"/>
      <c r="F112" s="210" t="str">
        <f>IF(ISNUMBER(D112),+C$112*D112, "-")</f>
        <v>-</v>
      </c>
      <c r="G112" s="26"/>
      <c r="H112" s="26"/>
    </row>
    <row r="113" spans="1:8" ht="22.5" customHeight="1" x14ac:dyDescent="0.2">
      <c r="A113" s="195" t="str">
        <f>IF(FP="FP-03","40102","31002")</f>
        <v>31002</v>
      </c>
      <c r="B113" s="196" t="str">
        <f>IF(FP="FP-03","Superpave pavement wedge and levelling course","CIP recycled ashalt base")</f>
        <v>CIP recycled ashalt base</v>
      </c>
      <c r="C113" s="311"/>
      <c r="D113" s="197"/>
      <c r="E113" s="198"/>
      <c r="F113" s="210" t="str">
        <f>IF(ISNUMBER(D113),+C$112*D113, "-")</f>
        <v>-</v>
      </c>
      <c r="G113" s="26"/>
      <c r="H113" s="26"/>
    </row>
    <row r="114" spans="1:8" x14ac:dyDescent="0.2">
      <c r="A114" s="63" t="str">
        <f>IF(FP="FP-03","Section 402 - HACP by Hveem or Marshall","Section 311 - Stabilized Aggregate Base Course")</f>
        <v>Section 311 - Stabilized Aggregate Base Course</v>
      </c>
      <c r="B114" s="58"/>
      <c r="C114" s="59" t="s">
        <v>89</v>
      </c>
      <c r="D114" s="82" t="str">
        <f>IF(Units="US CUSTOMARY", (VLOOKUP(A116,'VLookup table'!A21:G29,4)),(VLOOKUP(A116,'VLookup table'!A21:G29,5)))</f>
        <v>Tons</v>
      </c>
      <c r="E114" s="65"/>
      <c r="F114" s="67" t="s">
        <v>32</v>
      </c>
      <c r="G114" s="26"/>
      <c r="H114" s="26"/>
    </row>
    <row r="115" spans="1:8" ht="12.75" customHeight="1" x14ac:dyDescent="0.2">
      <c r="A115" s="189" t="str">
        <f>IF(FP="FP-03","40201","31101")</f>
        <v>31101</v>
      </c>
      <c r="B115" s="190" t="str">
        <f>IF(FP="FP-03","HACP Hveem or Marshall test","Stabilized aggregate surface course*")</f>
        <v>Stabilized aggregate surface course*</v>
      </c>
      <c r="C115" s="304">
        <f>IF(Units="US CUSTOMARY",(VLOOKUP(A116,'VLookup table'!A21:G29,6)),(VLOOKUP(A116,'VLookup table'!A21:G29,7)))</f>
        <v>0.7</v>
      </c>
      <c r="D115" s="192"/>
      <c r="E115" s="193"/>
      <c r="F115" s="210" t="str">
        <f>IF(ISNUMBER(D115),+C$115*D115, "-")</f>
        <v>-</v>
      </c>
      <c r="G115" s="84"/>
      <c r="H115" s="26"/>
    </row>
    <row r="116" spans="1:8" ht="23.25" customHeight="1" x14ac:dyDescent="0.2">
      <c r="A116" s="195" t="str">
        <f>IF(FP="FP-03","40202","31102")</f>
        <v>31102</v>
      </c>
      <c r="B116" s="196" t="str">
        <f>IF(FP="FP-03","HACP Hveem or Marshall test, wedge and levelling course","Stabilized aggregate surface course*")</f>
        <v>Stabilized aggregate surface course*</v>
      </c>
      <c r="C116" s="304"/>
      <c r="D116" s="197"/>
      <c r="E116" s="198"/>
      <c r="F116" s="210" t="str">
        <f t="shared" ref="F116:F117" si="6">IF(ISNUMBER(D116),+C$115*D116, "-")</f>
        <v>-</v>
      </c>
      <c r="G116" s="26"/>
      <c r="H116" s="26"/>
    </row>
    <row r="117" spans="1:8" x14ac:dyDescent="0.2">
      <c r="A117" s="189" t="str">
        <f>IF(FP="FP-03"," ","31103")</f>
        <v>31103</v>
      </c>
      <c r="B117" s="190" t="str">
        <f>IF(FP="FP-03"," ","Stabilized aggregate surface course")</f>
        <v>Stabilized aggregate surface course</v>
      </c>
      <c r="C117" s="305"/>
      <c r="D117" s="192"/>
      <c r="E117" s="193"/>
      <c r="F117" s="210" t="str">
        <f t="shared" si="6"/>
        <v>-</v>
      </c>
      <c r="G117" s="26"/>
      <c r="H117" s="26"/>
    </row>
    <row r="118" spans="1:8" x14ac:dyDescent="0.2">
      <c r="A118" s="68" t="str">
        <f>IF(FP="FP-03","Section 403 - Hot Asphalt Concrete Pavement","Section 401 - ACP by Gyratory Mix Design Method")</f>
        <v>Section 401 - ACP by Gyratory Mix Design Method</v>
      </c>
      <c r="B118" s="69"/>
      <c r="C118" s="79" t="s">
        <v>89</v>
      </c>
      <c r="D118" s="82" t="str">
        <f>IF(Units="US CUSTOMARY", (VLOOKUP(A120,'VLookup table'!A30:G35,4)),(VLOOKUP(A120,'VLookup table'!A30:G35,5)))</f>
        <v>Tons</v>
      </c>
      <c r="E118" s="72"/>
      <c r="F118" s="78" t="s">
        <v>32</v>
      </c>
      <c r="G118" s="26"/>
      <c r="H118" s="26"/>
    </row>
    <row r="119" spans="1:8" x14ac:dyDescent="0.2">
      <c r="A119" s="199" t="str">
        <f>IF(FP="FP-03","40301","40101")</f>
        <v>40101</v>
      </c>
      <c r="B119" s="191" t="str">
        <f>IF(FP="FP-03","Hot asphalt concrete pavement","Asphalt concrete pavement, gyratory mix")</f>
        <v>Asphalt concrete pavement, gyratory mix</v>
      </c>
      <c r="C119" s="304">
        <f>IF(Units="US CUSTOMARY",(VLOOKUP(A120,'VLookup table'!A30:G35,6)),(VLOOKUP(A120,'VLookup table'!A30:G35,7)))</f>
        <v>2.4</v>
      </c>
      <c r="D119" s="200"/>
      <c r="E119" s="201"/>
      <c r="F119" s="240" t="str">
        <f>IF(ISNUMBER(D119),+C$119*D119, "-")</f>
        <v>-</v>
      </c>
      <c r="G119" s="84"/>
      <c r="H119" s="26"/>
    </row>
    <row r="120" spans="1:8" ht="22.5" x14ac:dyDescent="0.2">
      <c r="A120" s="202" t="str">
        <f>IF(FP="FP-03","40302","40102")</f>
        <v>40102</v>
      </c>
      <c r="B120" s="203" t="str">
        <f>IF(FP="FP-03","Hot asphalt concrete pavement, wedge and levelling course","Asphalt concrete pavement, gyratory mix, wedged and leveling")</f>
        <v>Asphalt concrete pavement, gyratory mix, wedged and leveling</v>
      </c>
      <c r="C120" s="304"/>
      <c r="D120" s="204"/>
      <c r="E120" s="205"/>
      <c r="F120" s="240" t="str">
        <f>IF(ISNUMBER(D120),+C$119*D120, "-")</f>
        <v>-</v>
      </c>
      <c r="G120" s="26"/>
      <c r="H120" s="26"/>
    </row>
    <row r="121" spans="1:8" ht="28.5" customHeight="1" x14ac:dyDescent="0.25">
      <c r="A121" s="306" t="str">
        <f>IF(FP="FP-03","Section 405 - Open-Graded Asphalt Friction Course","Section 402 - ACP by Hveem or Marshall Mix Design Method")</f>
        <v>Section 402 - ACP by Hveem or Marshall Mix Design Method</v>
      </c>
      <c r="B121" s="307"/>
      <c r="C121" s="162" t="s">
        <v>89</v>
      </c>
      <c r="D121" s="163" t="str">
        <f>IF(Units="US CUSTOMARY", (VLOOKUP(A121,'VLookup table'!A37:G40,4)),(VLOOKUP(A121,'VLookup table'!A37:G40,5)))</f>
        <v>Tons</v>
      </c>
      <c r="E121" s="164"/>
      <c r="F121" s="165" t="s">
        <v>32</v>
      </c>
      <c r="G121" s="26"/>
      <c r="H121" s="26"/>
    </row>
    <row r="122" spans="1:8" ht="12.75" customHeight="1" x14ac:dyDescent="0.2">
      <c r="A122" s="199" t="str">
        <f>IF(FP="FP-03","40501","40201")</f>
        <v>40201</v>
      </c>
      <c r="B122" s="191" t="str">
        <f>IF(FP="FP-03","Open-graded asphalt friction course","ACP Hveem or Marshall Mix Design Method")</f>
        <v>ACP Hveem or Marshall Mix Design Method</v>
      </c>
      <c r="C122" s="304">
        <f>IF(Units="US CUSTOMARY",(VLOOKUP(A121,'VLookup table'!A35:G39,6)),(VLOOKUP(A121,'VLookup table'!A35:G39,7)))</f>
        <v>2.4</v>
      </c>
      <c r="D122" s="200"/>
      <c r="E122" s="201"/>
      <c r="F122" s="240" t="str">
        <f>IF(ISNUMBER(D122),+C$122*D122, "-")</f>
        <v>-</v>
      </c>
      <c r="G122" s="84"/>
      <c r="H122" s="26"/>
    </row>
    <row r="123" spans="1:8" ht="23.25" customHeight="1" x14ac:dyDescent="0.2">
      <c r="A123" s="202" t="str">
        <f>IF(FP="FP-03","","40202")</f>
        <v>40202</v>
      </c>
      <c r="B123" s="203" t="str">
        <f>IF(FP="FP-03","","ACP Hveen or Marshall Mix, wedge and leveling")</f>
        <v>ACP Hveen or Marshall Mix, wedge and leveling</v>
      </c>
      <c r="C123" s="304"/>
      <c r="D123" s="204"/>
      <c r="E123" s="205"/>
      <c r="F123" s="240" t="str">
        <f>IF(ISNUMBER(D123),+C$122*D123, "-")</f>
        <v>-</v>
      </c>
      <c r="G123" s="26"/>
      <c r="H123" s="26"/>
    </row>
    <row r="124" spans="1:8" x14ac:dyDescent="0.2">
      <c r="A124" s="68" t="str">
        <f>IF(FP="FP-03","Section 408 - Cold Recycled Asphalt base Course","Section 403 - Asphalt Concrete")</f>
        <v>Section 403 - Asphalt Concrete</v>
      </c>
      <c r="B124" s="69"/>
      <c r="C124" s="79" t="s">
        <v>89</v>
      </c>
      <c r="D124" s="82" t="str">
        <f>IF(Units="US CUSTOMARY", (VLOOKUP(A124,'VLookup table'!A38:G46,4)),(VLOOKUP(A124,'VLookup table'!A38:G46,5)))</f>
        <v>Tons</v>
      </c>
      <c r="E124" s="72"/>
      <c r="F124" s="78" t="s">
        <v>32</v>
      </c>
      <c r="G124" s="49"/>
      <c r="H124" s="49"/>
    </row>
    <row r="125" spans="1:8" x14ac:dyDescent="0.2">
      <c r="A125" s="199" t="str">
        <f>IF(FP="FP-03","40801","40301")</f>
        <v>40301</v>
      </c>
      <c r="B125" s="191" t="str">
        <f>IF(FP="FP-03","Cold recylced aphalt base","Asphalt concrete pavement")</f>
        <v>Asphalt concrete pavement</v>
      </c>
      <c r="C125" s="304">
        <f>IF(Units="US CUSTOMARY",(VLOOKUP(A124,'VLookup table'!A38:G46,6)),(VLOOKUP(A124,'VLookup table'!A38:G46,7)))</f>
        <v>2.4</v>
      </c>
      <c r="D125" s="200"/>
      <c r="E125" s="201"/>
      <c r="F125" s="240" t="str">
        <f>IF(ISNUMBER(D125),+C$125*D125, "-")</f>
        <v>-</v>
      </c>
      <c r="G125" s="154"/>
      <c r="H125" s="18"/>
    </row>
    <row r="126" spans="1:8" x14ac:dyDescent="0.2">
      <c r="A126" s="199" t="str">
        <f>IF(FP="FP-03","40802","40302")</f>
        <v>40302</v>
      </c>
      <c r="B126" s="191" t="str">
        <f>IF(FP="FP-03","Cold recylced aphalt base*","Asphalt concrete pavement*")</f>
        <v>Asphalt concrete pavement*</v>
      </c>
      <c r="C126" s="304"/>
      <c r="D126" s="200"/>
      <c r="E126" s="201"/>
      <c r="F126" s="240" t="str">
        <f t="shared" ref="F126:F127" si="7">IF(ISNUMBER(D126),+C$125*D126, "-")</f>
        <v>-</v>
      </c>
      <c r="G126" s="45"/>
      <c r="H126" s="45"/>
    </row>
    <row r="127" spans="1:8" ht="22.5" x14ac:dyDescent="0.2">
      <c r="A127" s="202" t="str">
        <f>IF(FP="FP-03","","40303")</f>
        <v>40303</v>
      </c>
      <c r="B127" s="203" t="str">
        <f>IF(FP="FP-03","","Asphalt concrete pavement, wedge and levelling")</f>
        <v>Asphalt concrete pavement, wedge and levelling</v>
      </c>
      <c r="C127" s="305"/>
      <c r="D127" s="204"/>
      <c r="E127" s="205"/>
      <c r="F127" s="240" t="str">
        <f t="shared" si="7"/>
        <v>-</v>
      </c>
      <c r="G127" s="45"/>
      <c r="H127" s="45"/>
    </row>
    <row r="128" spans="1:8" ht="15" x14ac:dyDescent="0.25">
      <c r="A128" s="296" t="s">
        <v>184</v>
      </c>
      <c r="B128" s="206"/>
      <c r="C128" s="241"/>
      <c r="D128" s="250"/>
      <c r="E128" s="207"/>
      <c r="F128" s="242"/>
      <c r="G128" s="45"/>
      <c r="H128" s="45"/>
    </row>
    <row r="129" spans="1:8" ht="15" x14ac:dyDescent="0.25">
      <c r="A129" s="166"/>
      <c r="B129" s="161"/>
      <c r="C129" s="243"/>
      <c r="D129" s="251"/>
      <c r="E129" s="208"/>
      <c r="F129" s="244"/>
      <c r="G129" s="45"/>
      <c r="H129" s="45"/>
    </row>
    <row r="130" spans="1:8" ht="15" x14ac:dyDescent="0.25">
      <c r="A130" s="166"/>
      <c r="B130" s="161"/>
      <c r="C130" s="243"/>
      <c r="D130" s="251"/>
      <c r="E130" s="208"/>
      <c r="F130" s="244"/>
      <c r="G130" s="45"/>
      <c r="H130" s="45"/>
    </row>
    <row r="131" spans="1:8" ht="18" x14ac:dyDescent="0.25">
      <c r="A131" s="298" t="s">
        <v>28</v>
      </c>
      <c r="B131" s="298"/>
      <c r="C131" s="298"/>
      <c r="D131" s="298"/>
      <c r="E131" s="298"/>
      <c r="F131" s="298"/>
      <c r="G131" s="298"/>
      <c r="H131" s="298"/>
    </row>
    <row r="132" spans="1:8" x14ac:dyDescent="0.2">
      <c r="A132" s="7"/>
      <c r="B132" s="7"/>
      <c r="C132" s="11" t="s">
        <v>24</v>
      </c>
      <c r="D132" s="12" t="str">
        <f>IF(FP="FP-03","FP-03","FP-14")</f>
        <v>FP-14</v>
      </c>
      <c r="E132" s="8"/>
      <c r="F132" s="9"/>
      <c r="G132" s="9"/>
      <c r="H132" s="9"/>
    </row>
    <row r="133" spans="1:8" x14ac:dyDescent="0.2">
      <c r="A133" s="7"/>
      <c r="B133" s="7"/>
      <c r="C133" s="7"/>
      <c r="D133" s="10"/>
      <c r="E133" s="8"/>
      <c r="F133" s="9"/>
      <c r="G133" s="9"/>
      <c r="H133" s="9"/>
    </row>
    <row r="134" spans="1:8" x14ac:dyDescent="0.2">
      <c r="A134" s="11" t="s">
        <v>3</v>
      </c>
      <c r="B134" s="294" t="str">
        <f>+B4</f>
        <v>Enter Project Number</v>
      </c>
      <c r="C134" s="294"/>
      <c r="D134" s="12"/>
      <c r="E134" s="12"/>
      <c r="F134" s="13"/>
      <c r="G134" s="14" t="s">
        <v>5</v>
      </c>
      <c r="H134" s="15">
        <f ca="1" xml:space="preserve"> TODAY()</f>
        <v>43503</v>
      </c>
    </row>
    <row r="135" spans="1:8" ht="5.25" customHeight="1" x14ac:dyDescent="0.2">
      <c r="A135" s="11"/>
      <c r="B135" s="294"/>
      <c r="C135" s="294"/>
      <c r="D135" s="12"/>
      <c r="E135" s="12"/>
      <c r="F135" s="13"/>
      <c r="G135" s="14"/>
      <c r="H135" s="15"/>
    </row>
    <row r="136" spans="1:8" x14ac:dyDescent="0.2">
      <c r="A136" s="11" t="s">
        <v>4</v>
      </c>
      <c r="B136" s="303" t="str">
        <f>+B6</f>
        <v>Enter Project name</v>
      </c>
      <c r="C136" s="303"/>
      <c r="D136" s="303"/>
      <c r="E136" s="303"/>
      <c r="F136" s="303"/>
      <c r="G136" s="14" t="str">
        <f>+G6</f>
        <v xml:space="preserve">Schedule: </v>
      </c>
      <c r="H136" s="17" t="str">
        <f>+H6</f>
        <v>C</v>
      </c>
    </row>
    <row r="137" spans="1:8" x14ac:dyDescent="0.2">
      <c r="A137" s="7"/>
      <c r="B137" s="7"/>
      <c r="C137" s="7"/>
      <c r="D137" s="8"/>
      <c r="E137" s="8"/>
      <c r="F137" s="9"/>
      <c r="G137" s="14" t="s">
        <v>8</v>
      </c>
      <c r="H137" s="13" t="str">
        <f>+Units</f>
        <v>US CUSTOMARY</v>
      </c>
    </row>
    <row r="138" spans="1:8" ht="6.75" customHeight="1" thickBot="1" x14ac:dyDescent="0.25">
      <c r="A138" s="7"/>
      <c r="B138" s="7"/>
      <c r="C138" s="7"/>
      <c r="D138" s="8"/>
      <c r="E138" s="8"/>
      <c r="F138" s="9"/>
      <c r="G138" s="14"/>
      <c r="H138" s="13"/>
    </row>
    <row r="139" spans="1:8" ht="19.5" customHeight="1" thickBot="1" x14ac:dyDescent="0.25">
      <c r="A139" s="231" t="s">
        <v>151</v>
      </c>
      <c r="B139" s="232"/>
      <c r="C139" s="232"/>
      <c r="D139" s="232"/>
      <c r="E139" s="232"/>
      <c r="F139" s="232"/>
      <c r="G139" s="232"/>
      <c r="H139" s="233"/>
    </row>
    <row r="140" spans="1:8" ht="5.25" customHeight="1" x14ac:dyDescent="0.2">
      <c r="A140" s="18"/>
      <c r="B140" s="44"/>
      <c r="C140" s="44"/>
      <c r="D140" s="45"/>
      <c r="E140" s="46"/>
      <c r="F140" s="45"/>
      <c r="G140" s="45"/>
      <c r="H140" s="45"/>
    </row>
    <row r="141" spans="1:8" ht="24" customHeight="1" x14ac:dyDescent="0.2">
      <c r="A141" s="312" t="str">
        <f>IF(FP="FP-03","Section 416 - Continuous Cold Recycled Asphalt Base Course","Section 405 - Open-Graded Asphalt Friction")</f>
        <v>Section 405 - Open-Graded Asphalt Friction</v>
      </c>
      <c r="B141" s="313"/>
      <c r="C141" s="79" t="s">
        <v>89</v>
      </c>
      <c r="D141" s="82" t="str">
        <f>IF(Units="US CUSTOMARY", (VLOOKUP(A141,'VLookup table'!A42:G50,4)),(VLOOKUP(A141,'VLookup table'!A42:G50,5)))</f>
        <v>Tons</v>
      </c>
      <c r="E141" s="72"/>
      <c r="F141" s="78" t="s">
        <v>32</v>
      </c>
      <c r="G141" s="45"/>
      <c r="H141" s="45"/>
    </row>
    <row r="142" spans="1:8" ht="15" x14ac:dyDescent="0.2">
      <c r="A142" s="70" t="str">
        <f>IF(FP="FP-03","41601","40501")</f>
        <v>40501</v>
      </c>
      <c r="B142" s="71" t="str">
        <f>IF(FP="FP-03","Continuous cold recylced aphalt base","Open-graded asphalt friction course")</f>
        <v>Open-graded asphalt friction course</v>
      </c>
      <c r="C142" s="245">
        <f>IF(Units="US CUSTOMARY",(VLOOKUP(A141,'VLookup table'!A42:G50,6)),(VLOOKUP(A141,'VLookup table'!A42:G50,7)))</f>
        <v>2.4</v>
      </c>
      <c r="D142" s="75"/>
      <c r="E142" s="73"/>
      <c r="F142" s="246" t="str">
        <f>IF(ISNUMBER(D142),+C$142*D142, "-")</f>
        <v>-</v>
      </c>
      <c r="G142" s="152"/>
      <c r="H142" s="45"/>
    </row>
    <row r="143" spans="1:8" ht="26.25" customHeight="1" x14ac:dyDescent="0.2">
      <c r="A143" s="312" t="str">
        <f>IF(FP="FP-03","Section 418 - Foamed Asphalt Stabilized Base - not in FP (in SCRs)","Not applicable")</f>
        <v>Not applicable</v>
      </c>
      <c r="B143" s="314"/>
      <c r="C143" s="162" t="s">
        <v>89</v>
      </c>
      <c r="D143" s="163" t="e">
        <f>IF(Units="US CUSTOMARY", (VLOOKUP(A143,'VLookup table'!A49:G54,4)),(VLOOKUP(A143,'VLookup table'!A49:G54,5)))</f>
        <v>#N/A</v>
      </c>
      <c r="E143" s="164"/>
      <c r="F143" s="165" t="s">
        <v>32</v>
      </c>
      <c r="G143" s="152"/>
      <c r="H143" s="45"/>
    </row>
    <row r="144" spans="1:8" ht="15" x14ac:dyDescent="0.2">
      <c r="A144" s="70" t="str">
        <f>IF(FP="FP-03","41801","")</f>
        <v/>
      </c>
      <c r="B144" s="71" t="str">
        <f>IF(FP="FP-03","Foamed asphalt stabilized base course","")</f>
        <v/>
      </c>
      <c r="C144" s="245" t="e">
        <f>IF(Units="US CUSTOMARY",(VLOOKUP(A143,'VLookup table'!A49:G53,6)),(VLOOKUP(A143,'VLookup table'!A49:G53,7)))</f>
        <v>#N/A</v>
      </c>
      <c r="D144" s="75"/>
      <c r="E144" s="73"/>
      <c r="F144" s="246" t="str">
        <f>IF(ISNUMBER(D144),+C$144*D144, "-")</f>
        <v>-</v>
      </c>
      <c r="G144" s="152"/>
      <c r="H144" s="49"/>
    </row>
    <row r="145" spans="1:8" x14ac:dyDescent="0.2">
      <c r="A145" s="68" t="str">
        <f>IF(FP="FP-03","Section 501 - Rigid pavement","Not applicable")</f>
        <v>Not applicable</v>
      </c>
      <c r="B145" s="69"/>
      <c r="C145" s="79" t="s">
        <v>89</v>
      </c>
      <c r="D145" s="82" t="e">
        <f>IF(Units="US CUSTOMARY", (VLOOKUP(A146,'VLookup table'!A54:G56,4)),(VLOOKUP(A146,'VLookup table'!A54:G56,5)))</f>
        <v>#N/A</v>
      </c>
      <c r="E145" s="72"/>
      <c r="F145" s="78" t="s">
        <v>32</v>
      </c>
      <c r="G145" s="50"/>
      <c r="H145" s="51"/>
    </row>
    <row r="146" spans="1:8" x14ac:dyDescent="0.2">
      <c r="A146" s="199" t="str">
        <f>IF(FP="FP-03","50101","")</f>
        <v/>
      </c>
      <c r="B146" s="191" t="str">
        <f>IF(FP="FP-03","Reinforced rigid pavement","")</f>
        <v/>
      </c>
      <c r="C146" s="304" t="e">
        <f>IF(Units="US CUSTOMARY",(VLOOKUP(A146,'VLookup table'!A54:G56,6)),(VLOOKUP(A146,'VLookup table'!A54:G56,7)))</f>
        <v>#N/A</v>
      </c>
      <c r="D146" s="200"/>
      <c r="E146" s="201"/>
      <c r="F146" s="240" t="str">
        <f>IF(ISNUMBER(D146),+C$146*D146, "-")</f>
        <v>-</v>
      </c>
      <c r="G146" s="50"/>
      <c r="H146" s="51"/>
    </row>
    <row r="147" spans="1:8" x14ac:dyDescent="0.2">
      <c r="A147" s="199" t="str">
        <f>IF(FP="FP-03","50102","")</f>
        <v/>
      </c>
      <c r="B147" s="191" t="str">
        <f>IF(FP="FP-03","Plain rigid pavement","")</f>
        <v/>
      </c>
      <c r="C147" s="305"/>
      <c r="D147" s="200"/>
      <c r="E147" s="201"/>
      <c r="F147" s="240" t="str">
        <f>IF(ISNUMBER(D147),+C$146*D147, "-")</f>
        <v>-</v>
      </c>
      <c r="G147" s="50"/>
      <c r="H147" s="51"/>
    </row>
    <row r="148" spans="1:8" x14ac:dyDescent="0.2">
      <c r="A148" s="47"/>
      <c r="B148" s="47"/>
      <c r="C148" s="47"/>
      <c r="D148" s="48"/>
      <c r="E148" s="48"/>
      <c r="F148" s="49"/>
      <c r="G148" s="49"/>
      <c r="H148" s="49"/>
    </row>
    <row r="149" spans="1:8" x14ac:dyDescent="0.2">
      <c r="A149" s="47"/>
      <c r="B149" s="47"/>
      <c r="C149" s="47"/>
      <c r="D149" s="48"/>
      <c r="E149" s="48"/>
      <c r="F149" s="49"/>
      <c r="G149" s="49"/>
      <c r="H149" s="49"/>
    </row>
    <row r="150" spans="1:8" x14ac:dyDescent="0.2">
      <c r="A150" s="209"/>
      <c r="B150" s="216"/>
      <c r="C150" s="217"/>
      <c r="D150" s="218" t="s">
        <v>144</v>
      </c>
      <c r="E150" s="217"/>
      <c r="F150" s="219">
        <f>SUM(F78:F127)+SUM(F141:F147)</f>
        <v>0</v>
      </c>
      <c r="G150" s="18"/>
      <c r="H150" s="18"/>
    </row>
    <row r="151" spans="1:8" ht="4.5" customHeight="1" x14ac:dyDescent="0.2">
      <c r="A151" s="18"/>
      <c r="B151" s="220"/>
      <c r="C151" s="44"/>
      <c r="D151" s="46"/>
      <c r="E151" s="46"/>
      <c r="F151" s="221"/>
      <c r="G151" s="45"/>
      <c r="H151" s="45"/>
    </row>
    <row r="152" spans="1:8" x14ac:dyDescent="0.2">
      <c r="A152" s="18"/>
      <c r="B152" s="222"/>
      <c r="C152" s="47"/>
      <c r="D152" s="211" t="s">
        <v>140</v>
      </c>
      <c r="E152" s="52"/>
      <c r="F152" s="252"/>
      <c r="G152" s="45"/>
      <c r="H152" s="45"/>
    </row>
    <row r="153" spans="1:8" ht="7.5" customHeight="1" x14ac:dyDescent="0.2">
      <c r="A153" s="18"/>
      <c r="B153" s="223"/>
      <c r="C153" s="47"/>
      <c r="D153" s="215"/>
      <c r="E153" s="52"/>
      <c r="F153" s="221"/>
      <c r="G153" s="45"/>
      <c r="H153" s="45"/>
    </row>
    <row r="154" spans="1:8" x14ac:dyDescent="0.2">
      <c r="A154" s="18"/>
      <c r="B154" s="223"/>
      <c r="C154" s="47"/>
      <c r="D154" s="211" t="s">
        <v>141</v>
      </c>
      <c r="E154" s="52"/>
      <c r="F154" s="224" t="str">
        <f>IF(F152&lt;&gt;"",F152*1.6,"-")</f>
        <v>-</v>
      </c>
      <c r="G154" s="45"/>
      <c r="H154" s="45"/>
    </row>
    <row r="155" spans="1:8" ht="5.25" customHeight="1" x14ac:dyDescent="0.2">
      <c r="A155" s="18"/>
      <c r="B155" s="223"/>
      <c r="C155" s="47"/>
      <c r="D155" s="215"/>
      <c r="E155" s="52"/>
      <c r="F155" s="221"/>
      <c r="G155" s="45"/>
      <c r="H155" s="45"/>
    </row>
    <row r="156" spans="1:8" x14ac:dyDescent="0.2">
      <c r="A156" s="47"/>
      <c r="B156" s="223"/>
      <c r="C156" s="47"/>
      <c r="D156" s="212" t="s">
        <v>142</v>
      </c>
      <c r="E156" s="48"/>
      <c r="F156" s="225" t="str">
        <f>IF(F150&lt;&gt;0,(1.6-1.1)*(F150*F152),"-")</f>
        <v>-</v>
      </c>
      <c r="G156" s="49"/>
      <c r="H156" s="49"/>
    </row>
    <row r="157" spans="1:8" ht="7.5" customHeight="1" x14ac:dyDescent="0.2">
      <c r="A157" s="47"/>
      <c r="B157" s="223"/>
      <c r="C157" s="47"/>
      <c r="D157" s="48"/>
      <c r="E157" s="48"/>
      <c r="F157" s="221"/>
      <c r="G157" s="53"/>
      <c r="H157" s="54"/>
    </row>
    <row r="158" spans="1:8" x14ac:dyDescent="0.2">
      <c r="A158" s="47"/>
      <c r="B158" s="223"/>
      <c r="C158" s="47"/>
      <c r="D158" s="212" t="s">
        <v>143</v>
      </c>
      <c r="E158" s="48"/>
      <c r="F158" s="253"/>
      <c r="G158" s="53"/>
      <c r="H158" s="54"/>
    </row>
    <row r="159" spans="1:8" ht="6.75" customHeight="1" x14ac:dyDescent="0.2">
      <c r="A159" s="47"/>
      <c r="B159" s="223"/>
      <c r="C159" s="47"/>
      <c r="D159" s="48"/>
      <c r="E159" s="48"/>
      <c r="F159" s="221"/>
      <c r="G159" s="53"/>
      <c r="H159" s="54"/>
    </row>
    <row r="160" spans="1:8" ht="18.75" customHeight="1" x14ac:dyDescent="0.2">
      <c r="A160" s="47"/>
      <c r="B160" s="226"/>
      <c r="C160" s="227"/>
      <c r="D160" s="228" t="s">
        <v>145</v>
      </c>
      <c r="E160" s="229"/>
      <c r="F160" s="230" t="str">
        <f>IF(F158&lt;&gt;"",(F156*F158)/100,"$0.00")</f>
        <v>$0.00</v>
      </c>
      <c r="G160" s="53"/>
      <c r="H160" s="54"/>
    </row>
    <row r="161" spans="1:8" ht="18.75" customHeight="1" x14ac:dyDescent="0.2">
      <c r="A161" s="47"/>
      <c r="B161" s="47"/>
      <c r="C161" s="47"/>
      <c r="D161" s="213"/>
      <c r="E161" s="48"/>
      <c r="F161" s="214"/>
      <c r="G161" s="53"/>
      <c r="H161" s="54"/>
    </row>
    <row r="162" spans="1:8" ht="18.75" customHeight="1" x14ac:dyDescent="0.2">
      <c r="A162" s="47"/>
      <c r="B162" s="47"/>
      <c r="C162" s="47"/>
      <c r="D162" s="213"/>
      <c r="E162" s="48"/>
      <c r="F162" s="214"/>
      <c r="G162" s="53"/>
      <c r="H162" s="54"/>
    </row>
    <row r="163" spans="1:8" x14ac:dyDescent="0.2">
      <c r="A163" s="47"/>
      <c r="B163" s="47"/>
      <c r="C163" s="47"/>
      <c r="D163" s="48"/>
      <c r="E163" s="48"/>
      <c r="F163" s="49"/>
      <c r="G163" s="53"/>
      <c r="H163" s="54"/>
    </row>
    <row r="164" spans="1:8" ht="6.75" customHeight="1" thickBot="1" x14ac:dyDescent="0.25">
      <c r="A164" s="7"/>
      <c r="B164" s="7"/>
      <c r="C164" s="7"/>
      <c r="D164" s="8"/>
      <c r="E164" s="8"/>
      <c r="F164" s="9"/>
      <c r="G164" s="14"/>
      <c r="H164" s="13"/>
    </row>
    <row r="165" spans="1:8" ht="19.5" customHeight="1" thickBot="1" x14ac:dyDescent="0.25">
      <c r="A165" s="234" t="s">
        <v>146</v>
      </c>
      <c r="B165" s="235"/>
      <c r="C165" s="235"/>
      <c r="D165" s="235"/>
      <c r="E165" s="235"/>
      <c r="F165" s="235"/>
      <c r="G165" s="235"/>
      <c r="H165" s="236"/>
    </row>
    <row r="166" spans="1:8" ht="5.25" customHeight="1" x14ac:dyDescent="0.2">
      <c r="A166" s="18"/>
      <c r="B166" s="44"/>
      <c r="C166" s="44"/>
      <c r="D166" s="45"/>
      <c r="E166" s="46"/>
      <c r="F166" s="45"/>
      <c r="G166" s="45"/>
      <c r="H166" s="45"/>
    </row>
    <row r="167" spans="1:8" x14ac:dyDescent="0.2">
      <c r="A167" s="47"/>
      <c r="B167" s="216"/>
      <c r="C167" s="217"/>
      <c r="D167" s="218" t="s">
        <v>149</v>
      </c>
      <c r="E167" s="217"/>
      <c r="F167" s="254"/>
      <c r="G167" s="53"/>
      <c r="H167" s="54"/>
    </row>
    <row r="168" spans="1:8" x14ac:dyDescent="0.2">
      <c r="A168" s="47"/>
      <c r="B168" s="220"/>
      <c r="C168" s="44"/>
      <c r="D168" s="46"/>
      <c r="E168" s="46"/>
      <c r="F168" s="221"/>
      <c r="G168" s="53"/>
      <c r="H168" s="54"/>
    </row>
    <row r="169" spans="1:8" x14ac:dyDescent="0.2">
      <c r="A169" s="47"/>
      <c r="B169" s="222"/>
      <c r="C169" s="47"/>
      <c r="D169" s="211" t="s">
        <v>147</v>
      </c>
      <c r="E169" s="52"/>
      <c r="F169" s="252"/>
      <c r="G169" s="53"/>
      <c r="H169" s="54"/>
    </row>
    <row r="170" spans="1:8" x14ac:dyDescent="0.2">
      <c r="A170" s="47"/>
      <c r="B170" s="223"/>
      <c r="C170" s="47"/>
      <c r="D170" s="215"/>
      <c r="E170" s="52"/>
      <c r="F170" s="221"/>
      <c r="G170" s="53"/>
      <c r="H170" s="54"/>
    </row>
    <row r="171" spans="1:8" x14ac:dyDescent="0.2">
      <c r="A171" s="47"/>
      <c r="B171" s="223"/>
      <c r="C171" s="47"/>
      <c r="D171" s="211" t="s">
        <v>141</v>
      </c>
      <c r="E171" s="52"/>
      <c r="F171" s="224" t="str">
        <f>IF(F169&lt;&gt;"",F169*1.6,"-")</f>
        <v>-</v>
      </c>
      <c r="G171" s="53"/>
      <c r="H171" s="54"/>
    </row>
    <row r="172" spans="1:8" x14ac:dyDescent="0.2">
      <c r="A172" s="47"/>
      <c r="B172" s="223"/>
      <c r="C172" s="47"/>
      <c r="D172" s="215"/>
      <c r="E172" s="52"/>
      <c r="F172" s="221"/>
      <c r="G172" s="53"/>
      <c r="H172" s="54"/>
    </row>
    <row r="173" spans="1:8" x14ac:dyDescent="0.2">
      <c r="A173" s="47"/>
      <c r="B173" s="223"/>
      <c r="C173" s="47"/>
      <c r="D173" s="212" t="s">
        <v>148</v>
      </c>
      <c r="E173" s="48"/>
      <c r="F173" s="225" t="str">
        <f>IF(F167&lt;&gt;0,(1.6-1.1)*(F169)*(F167*0.06),"-")</f>
        <v>-</v>
      </c>
      <c r="G173" s="53"/>
      <c r="H173" s="54"/>
    </row>
    <row r="174" spans="1:8" x14ac:dyDescent="0.2">
      <c r="A174" s="47"/>
      <c r="B174" s="223"/>
      <c r="C174" s="47"/>
      <c r="D174" s="48"/>
      <c r="E174" s="48"/>
      <c r="F174" s="221"/>
      <c r="G174" s="53"/>
      <c r="H174" s="54"/>
    </row>
    <row r="175" spans="1:8" x14ac:dyDescent="0.2">
      <c r="A175" s="47"/>
      <c r="B175" s="223"/>
      <c r="C175" s="47"/>
      <c r="D175" s="212" t="s">
        <v>143</v>
      </c>
      <c r="E175" s="48"/>
      <c r="F175" s="253"/>
      <c r="G175" s="53"/>
      <c r="H175" s="54"/>
    </row>
    <row r="176" spans="1:8" x14ac:dyDescent="0.2">
      <c r="A176" s="47"/>
      <c r="B176" s="223"/>
      <c r="C176" s="47"/>
      <c r="D176" s="48"/>
      <c r="E176" s="48"/>
      <c r="F176" s="221"/>
      <c r="G176" s="53"/>
      <c r="H176" s="54"/>
    </row>
    <row r="177" spans="1:8" x14ac:dyDescent="0.2">
      <c r="A177" s="47"/>
      <c r="B177" s="226"/>
      <c r="C177" s="227"/>
      <c r="D177" s="228" t="s">
        <v>150</v>
      </c>
      <c r="E177" s="229"/>
      <c r="F177" s="230" t="str">
        <f>IF(F175&lt;&gt;"",(F173*F175)/100,"$0.00")</f>
        <v>$0.00</v>
      </c>
      <c r="G177" s="49"/>
      <c r="H177" s="49"/>
    </row>
    <row r="178" spans="1:8" x14ac:dyDescent="0.2">
      <c r="A178" s="47"/>
      <c r="B178" s="47"/>
      <c r="C178" s="47"/>
      <c r="D178" s="48"/>
      <c r="E178" s="48"/>
      <c r="F178" s="49"/>
      <c r="G178" s="49"/>
      <c r="H178" s="49"/>
    </row>
    <row r="179" spans="1:8" x14ac:dyDescent="0.2">
      <c r="A179" s="55"/>
      <c r="B179" s="56"/>
      <c r="C179" s="56"/>
      <c r="D179" s="48"/>
      <c r="E179" s="48"/>
      <c r="F179" s="49"/>
      <c r="G179" s="49"/>
      <c r="H179" s="49"/>
    </row>
    <row r="180" spans="1:8" x14ac:dyDescent="0.2">
      <c r="A180" s="56"/>
      <c r="B180" s="56"/>
      <c r="C180" s="56"/>
      <c r="D180" s="48"/>
      <c r="E180" s="48"/>
      <c r="F180" s="49"/>
      <c r="G180" s="49"/>
      <c r="H180" s="49"/>
    </row>
    <row r="181" spans="1:8" x14ac:dyDescent="0.2">
      <c r="A181" s="56"/>
      <c r="B181" s="56"/>
      <c r="C181" s="56"/>
      <c r="D181" s="48"/>
      <c r="E181" s="48"/>
      <c r="F181" s="49"/>
      <c r="G181" s="49"/>
      <c r="H181" s="49"/>
    </row>
    <row r="182" spans="1:8" x14ac:dyDescent="0.2">
      <c r="A182" s="55"/>
      <c r="B182" s="56"/>
      <c r="C182" s="56"/>
      <c r="D182" s="48"/>
      <c r="E182" s="48"/>
      <c r="F182" s="49"/>
      <c r="G182" s="49"/>
      <c r="H182" s="49"/>
    </row>
    <row r="183" spans="1:8" x14ac:dyDescent="0.2">
      <c r="A183" s="56"/>
      <c r="B183" s="56"/>
      <c r="C183" s="56"/>
      <c r="D183" s="48"/>
      <c r="E183" s="48"/>
      <c r="F183" s="49"/>
      <c r="G183" s="49"/>
      <c r="H183" s="49"/>
    </row>
    <row r="184" spans="1:8" x14ac:dyDescent="0.2">
      <c r="A184" s="56"/>
      <c r="B184" s="56"/>
      <c r="C184" s="56"/>
      <c r="D184" s="48"/>
      <c r="E184" s="48"/>
      <c r="F184" s="49"/>
      <c r="G184" s="49"/>
      <c r="H184" s="49"/>
    </row>
    <row r="185" spans="1:8" ht="22.5" customHeight="1" x14ac:dyDescent="0.2">
      <c r="A185" s="55"/>
      <c r="B185" s="56"/>
      <c r="C185" s="56"/>
      <c r="D185" s="48"/>
      <c r="E185" s="48"/>
      <c r="F185" s="49"/>
      <c r="G185" s="49"/>
      <c r="H185" s="49"/>
    </row>
  </sheetData>
  <sheetProtection sheet="1" objects="1" scenarios="1"/>
  <dataConsolidate/>
  <mergeCells count="25">
    <mergeCell ref="C146:C147"/>
    <mergeCell ref="C122:C123"/>
    <mergeCell ref="C125:C127"/>
    <mergeCell ref="A131:H131"/>
    <mergeCell ref="B136:F136"/>
    <mergeCell ref="A141:B141"/>
    <mergeCell ref="A143:B143"/>
    <mergeCell ref="A121:B121"/>
    <mergeCell ref="A51:G51"/>
    <mergeCell ref="A67:H67"/>
    <mergeCell ref="B72:F72"/>
    <mergeCell ref="C78:C87"/>
    <mergeCell ref="C89:C97"/>
    <mergeCell ref="C99:C100"/>
    <mergeCell ref="C102:C106"/>
    <mergeCell ref="C108:C110"/>
    <mergeCell ref="C112:C113"/>
    <mergeCell ref="C115:C117"/>
    <mergeCell ref="C119:C120"/>
    <mergeCell ref="A43:H43"/>
    <mergeCell ref="A1:H1"/>
    <mergeCell ref="B6:F6"/>
    <mergeCell ref="A10:H10"/>
    <mergeCell ref="A30:H30"/>
    <mergeCell ref="A38:G38"/>
  </mergeCells>
  <dataValidations disablePrompts="1" count="12">
    <dataValidation type="list" allowBlank="1" showInputMessage="1" showErrorMessage="1" sqref="G6">
      <formula1>", Schedule: , Option: "</formula1>
    </dataValidation>
    <dataValidation type="list" showInputMessage="1" showErrorMessage="1" error="Please use drop-down menu to select a schedule" promptTitle="Choose schedule" prompt="If you have multiple schedules, then copy addtional sheet tabs and calculate incevitves separately for each schedule._x000a__x000a_Sheets tabs can be copied by left clicking the acitve tab and choosing 'Move or Copy', then clicking the 'Create Copy' checkbox." sqref="H6">
      <formula1>"  , A, B, C, D, E, F, G, W, X, Y, Z"</formula1>
    </dataValidation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36 D128:D130">
      <formula1>0</formula1>
    </dataValidation>
    <dataValidation allowBlank="1" showInputMessage="1" showErrorMessage="1" promptTitle="Enter project number" prompt="Example:  CA FTNP JOTR 11(5)" sqref="B4:C4"/>
    <dataValidation allowBlank="1" showInputMessage="1" showErrorMessage="1" promptTitle="Enter project name" prompt="Example:  Pinto Basin Road" sqref="B6:F6"/>
    <dataValidation allowBlank="1" sqref="B70:C70 B134:C134"/>
    <dataValidation allowBlank="1" showErrorMessage="1" sqref="B81"/>
    <dataValidation type="whole" operator="greaterThanOrEqual" allowBlank="1" showInputMessage="1" showErrorMessage="1" error="Bid decimals set to zero._x000a__x000a_Contact Heidi Hirsbrunner (X3622)_x000a_                _x000a_to modify Incentive Spreadsheet." sqref="D13 D15 D17 D19 D33 D35 D21 D23 D25 D27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78:D87 D102:D106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89:D97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99:D100">
      <formula1>0</formula1>
    </dataValidation>
    <dataValidation type="whole" operator="greaterThanOrEqual" allowBlank="1" showInputMessage="1" showErrorMessage="1" error="Bid decimals set to zero._x000a__x000a_Contact Heidi Hirsbrunner (X3622)_x000a__x000a_to modify Incentive Spreadsheet." sqref="D108:D110 D112:D113 D115:D117 D119:D120 D122:D123 D125:D127 D142 D144 D146:D147">
      <formula1>0</formula1>
    </dataValidation>
  </dataValidations>
  <printOptions horizontalCentered="1"/>
  <pageMargins left="0.7" right="0.7" top="0.75" bottom="0.75" header="0.3" footer="0.3"/>
  <pageSetup scale="81" fitToHeight="2" orientation="portrait" r:id="rId1"/>
  <headerFooter>
    <oddFooter>&amp;RRev. 02-08-2019</oddFooter>
  </headerFooter>
  <rowBreaks count="1" manualBreakCount="1">
    <brk id="66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K185"/>
  <sheetViews>
    <sheetView zoomScaleNormal="100"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8" customWidth="1"/>
    <col min="5" max="5" width="1.7109375" style="38" customWidth="1"/>
    <col min="6" max="6" width="12.42578125" style="39" customWidth="1"/>
    <col min="7" max="7" width="14.42578125" style="39" customWidth="1"/>
    <col min="8" max="8" width="16.7109375" style="39" bestFit="1" customWidth="1"/>
    <col min="9" max="16384" width="9.140625" style="6"/>
  </cols>
  <sheetData>
    <row r="1" spans="1:8" ht="18" x14ac:dyDescent="0.25">
      <c r="A1" s="298" t="s">
        <v>26</v>
      </c>
      <c r="B1" s="298"/>
      <c r="C1" s="298"/>
      <c r="D1" s="298"/>
      <c r="E1" s="298"/>
      <c r="F1" s="298"/>
      <c r="G1" s="298"/>
      <c r="H1" s="298"/>
    </row>
    <row r="2" spans="1:8" ht="15" x14ac:dyDescent="0.2">
      <c r="A2" s="7"/>
      <c r="B2" s="7"/>
      <c r="C2" s="11" t="s">
        <v>24</v>
      </c>
      <c r="D2" s="256" t="str">
        <f>+Sheet1!D2</f>
        <v>FP-14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294" t="str">
        <f>+Sheet1!B4</f>
        <v>Enter Project Number</v>
      </c>
      <c r="C4" s="294"/>
      <c r="D4" s="12"/>
      <c r="E4" s="12"/>
      <c r="F4" s="13"/>
      <c r="G4" s="14" t="s">
        <v>5</v>
      </c>
      <c r="H4" s="15">
        <f ca="1" xml:space="preserve"> TODAY()</f>
        <v>43503</v>
      </c>
    </row>
    <row r="5" spans="1:8" ht="6" customHeight="1" x14ac:dyDescent="0.2">
      <c r="A5" s="11"/>
      <c r="B5" s="294"/>
      <c r="C5" s="294"/>
      <c r="D5" s="12"/>
      <c r="E5" s="12"/>
      <c r="F5" s="13"/>
      <c r="G5" s="14"/>
      <c r="H5" s="15"/>
    </row>
    <row r="6" spans="1:8" ht="15" x14ac:dyDescent="0.2">
      <c r="A6" s="11" t="s">
        <v>4</v>
      </c>
      <c r="B6" s="303" t="str">
        <f>+Sheet1!B6</f>
        <v>Enter Project name</v>
      </c>
      <c r="C6" s="303">
        <f>+Sheet1!C6</f>
        <v>0</v>
      </c>
      <c r="D6" s="303">
        <f>+Sheet1!D6</f>
        <v>0</v>
      </c>
      <c r="E6" s="303">
        <f>+Sheet1!E6</f>
        <v>0</v>
      </c>
      <c r="F6" s="303">
        <f>+Sheet1!F6</f>
        <v>0</v>
      </c>
      <c r="G6" s="258" t="s">
        <v>178</v>
      </c>
      <c r="H6" s="1" t="s">
        <v>179</v>
      </c>
    </row>
    <row r="7" spans="1:8" ht="6" customHeight="1" x14ac:dyDescent="0.2">
      <c r="A7" s="11"/>
      <c r="B7" s="294"/>
      <c r="C7" s="294"/>
      <c r="D7" s="294"/>
      <c r="E7" s="294"/>
      <c r="F7" s="294"/>
      <c r="G7" s="14"/>
      <c r="H7" s="17"/>
    </row>
    <row r="8" spans="1:8" ht="15" x14ac:dyDescent="0.2">
      <c r="A8" s="7"/>
      <c r="B8" s="7"/>
      <c r="C8" s="7"/>
      <c r="D8" s="8"/>
      <c r="E8" s="8"/>
      <c r="F8" s="9"/>
      <c r="G8" s="14" t="s">
        <v>8</v>
      </c>
      <c r="H8" s="256" t="str">
        <f>+Sheet1!H8</f>
        <v>US CUSTOMARY</v>
      </c>
    </row>
    <row r="9" spans="1:8" ht="13.5" thickBot="1" x14ac:dyDescent="0.25">
      <c r="A9" s="7"/>
      <c r="B9" s="7"/>
      <c r="C9" s="7"/>
      <c r="D9" s="8"/>
      <c r="E9" s="8"/>
      <c r="F9" s="9"/>
      <c r="G9" s="14"/>
      <c r="H9" s="13"/>
    </row>
    <row r="10" spans="1:8" ht="18.75" thickBot="1" x14ac:dyDescent="0.25">
      <c r="A10" s="300" t="s">
        <v>15</v>
      </c>
      <c r="B10" s="300"/>
      <c r="C10" s="300"/>
      <c r="D10" s="300"/>
      <c r="E10" s="300"/>
      <c r="F10" s="300"/>
      <c r="G10" s="300"/>
      <c r="H10" s="300"/>
    </row>
    <row r="11" spans="1:8" x14ac:dyDescent="0.2">
      <c r="A11" s="18" t="s">
        <v>13</v>
      </c>
      <c r="B11" s="18"/>
      <c r="C11" s="18"/>
      <c r="D11" s="18" t="s">
        <v>11</v>
      </c>
      <c r="E11" s="18"/>
      <c r="F11" s="18"/>
      <c r="G11" s="18"/>
      <c r="H11" s="18"/>
    </row>
    <row r="12" spans="1:8" ht="13.5" thickBot="1" x14ac:dyDescent="0.25">
      <c r="A12" s="19" t="s">
        <v>14</v>
      </c>
      <c r="B12" s="20" t="s">
        <v>7</v>
      </c>
      <c r="C12" s="20"/>
      <c r="D12" s="21" t="str">
        <f>IF(Units="US CUSTOMARY"," (Ton or SY)"," (tonnes or m2)")</f>
        <v xml:space="preserve"> (Ton or SY)</v>
      </c>
      <c r="E12" s="22"/>
      <c r="F12" s="21" t="s">
        <v>0</v>
      </c>
      <c r="G12" s="21" t="str">
        <f>"Q_"&amp;IF(Units="US CUSTOMARY","Ton","t")&amp;" Unit Price"</f>
        <v>Q_Ton Unit Price</v>
      </c>
      <c r="H12" s="21" t="s">
        <v>1</v>
      </c>
    </row>
    <row r="13" spans="1:8" ht="13.5" thickTop="1" x14ac:dyDescent="0.2">
      <c r="A13" s="23" t="str">
        <f>IF(FP="FP-03","301","301")</f>
        <v>301</v>
      </c>
      <c r="B13" s="24" t="str">
        <f>IF(FP="FP-03","Untreated Aggregate Courses","Untreated Aggregate Courses")</f>
        <v>Untreated Aggregate Courses</v>
      </c>
      <c r="C13" s="24"/>
      <c r="D13" s="3"/>
      <c r="E13" s="247"/>
      <c r="F13" s="4"/>
      <c r="G13" s="26" t="str">
        <f>IF(ISNUMBER(F13),ROUND(F13*0.05,2),"-")</f>
        <v>-</v>
      </c>
      <c r="H13" s="26" t="str">
        <f>IF(AND(ISNUMBER(D13),ISNUMBER(F13)),D13*G13,"-")</f>
        <v>-</v>
      </c>
    </row>
    <row r="14" spans="1:8" ht="6" customHeight="1" x14ac:dyDescent="0.2">
      <c r="A14" s="23"/>
      <c r="B14" s="24"/>
      <c r="C14" s="24"/>
      <c r="D14" s="247"/>
      <c r="E14" s="247"/>
      <c r="F14" s="248"/>
      <c r="G14" s="26"/>
      <c r="H14" s="26"/>
    </row>
    <row r="15" spans="1:8" x14ac:dyDescent="0.2">
      <c r="A15" s="23" t="str">
        <f>IF(FP="FP-03","302","309")</f>
        <v>309</v>
      </c>
      <c r="B15" s="24" t="str">
        <f>IF(FP="FP-03","Treated Aggregate Courses","Emulsified Asphalt-Treated Base Course")</f>
        <v>Emulsified Asphalt-Treated Base Course</v>
      </c>
      <c r="C15" s="24"/>
      <c r="D15" s="3"/>
      <c r="E15" s="247"/>
      <c r="F15" s="4"/>
      <c r="G15" s="26" t="str">
        <f>IF(ISNUMBER(F15),ROUND(F15*0.05,2),"-")</f>
        <v>-</v>
      </c>
      <c r="H15" s="26" t="str">
        <f>IF(AND(ISNUMBER(D15),ISNUMBER(F15)),D15*G15,"-")</f>
        <v>-</v>
      </c>
    </row>
    <row r="16" spans="1:8" ht="6" customHeight="1" x14ac:dyDescent="0.2">
      <c r="A16" s="23"/>
      <c r="B16" s="24"/>
      <c r="C16" s="24"/>
      <c r="D16" s="247"/>
      <c r="E16" s="247"/>
      <c r="F16" s="248"/>
      <c r="G16" s="26"/>
      <c r="H16" s="26"/>
    </row>
    <row r="17" spans="1:11" x14ac:dyDescent="0.2">
      <c r="A17" s="23" t="str">
        <f>IF(FP="FP-03","304","311")</f>
        <v>311</v>
      </c>
      <c r="B17" s="24" t="str">
        <f>IF(FP="FP-03","Aggregate Stabiliation","Stabilized Aggregate Surface Course")</f>
        <v>Stabilized Aggregate Surface Course</v>
      </c>
      <c r="C17" s="24"/>
      <c r="D17" s="3"/>
      <c r="E17" s="247"/>
      <c r="F17" s="4"/>
      <c r="G17" s="26" t="str">
        <f t="shared" ref="G17:G19" si="0">IF(ISNUMBER(F17),ROUND(F17*0.05,2),"-")</f>
        <v>-</v>
      </c>
      <c r="H17" s="26" t="str">
        <f>IF(AND(ISNUMBER(D17),ISNUMBER(F17)),D17*G17,"-")</f>
        <v>-</v>
      </c>
    </row>
    <row r="18" spans="1:11" ht="6" customHeight="1" x14ac:dyDescent="0.2">
      <c r="A18" s="23"/>
      <c r="B18" s="24"/>
      <c r="C18" s="24"/>
      <c r="D18" s="247"/>
      <c r="E18" s="247"/>
      <c r="F18" s="248"/>
      <c r="G18" s="26"/>
      <c r="H18" s="26"/>
    </row>
    <row r="19" spans="1:11" x14ac:dyDescent="0.2">
      <c r="A19" s="23" t="str">
        <f>IF(FP="FP-03","309","405")</f>
        <v>405</v>
      </c>
      <c r="B19" s="24" t="str">
        <f>IF(FP="FP-03","Emulsified ATB Course","Open-Graded Asphalt Friction Course")</f>
        <v>Open-Graded Asphalt Friction Course</v>
      </c>
      <c r="C19" s="24"/>
      <c r="D19" s="3"/>
      <c r="E19" s="247"/>
      <c r="F19" s="4"/>
      <c r="G19" s="26" t="str">
        <f t="shared" si="0"/>
        <v>-</v>
      </c>
      <c r="H19" s="26" t="str">
        <f>IF(AND(ISNUMBER(D19),ISNUMBER(F19)),D19*G19,"-")</f>
        <v>-</v>
      </c>
    </row>
    <row r="20" spans="1:11" ht="6" customHeight="1" x14ac:dyDescent="0.2">
      <c r="A20" s="23"/>
      <c r="B20" s="24"/>
      <c r="C20" s="24"/>
      <c r="D20" s="247"/>
      <c r="E20" s="247"/>
      <c r="F20" s="248"/>
      <c r="G20" s="26"/>
      <c r="H20" s="26"/>
    </row>
    <row r="21" spans="1:11" x14ac:dyDescent="0.2">
      <c r="A21" s="23" t="str">
        <f>IF(FP="FP-03","405","407")</f>
        <v>407</v>
      </c>
      <c r="B21" s="24" t="str">
        <f>IF(FP="FP-03","Open-Graded Asphalt Friction Course","Chip Seal")</f>
        <v>Chip Seal</v>
      </c>
      <c r="C21" s="24"/>
      <c r="D21" s="3"/>
      <c r="E21" s="247"/>
      <c r="F21" s="4"/>
      <c r="G21" s="26" t="str">
        <f t="shared" ref="G21:G23" si="1">IF(ISNUMBER(F21),ROUND(F21*0.05,2),"-")</f>
        <v>-</v>
      </c>
      <c r="H21" s="26" t="str">
        <f>IF(AND(ISNUMBER(D21),ISNUMBER(F21)),D21*G21,"-")</f>
        <v>-</v>
      </c>
    </row>
    <row r="22" spans="1:11" ht="6" customHeight="1" x14ac:dyDescent="0.2">
      <c r="A22" s="23"/>
      <c r="B22" s="24"/>
      <c r="C22" s="24"/>
      <c r="D22" s="247"/>
      <c r="E22" s="247"/>
      <c r="F22" s="248"/>
      <c r="G22" s="26"/>
      <c r="H22" s="26"/>
    </row>
    <row r="23" spans="1:11" x14ac:dyDescent="0.2">
      <c r="A23" s="23" t="str">
        <f>IF(FP="FP-03","409","-")</f>
        <v>-</v>
      </c>
      <c r="B23" s="24" t="str">
        <f>IF(FP="FP-03","Asphalt Surface Treatment","                         -")</f>
        <v xml:space="preserve">                         -</v>
      </c>
      <c r="C23" s="24"/>
      <c r="D23" s="3"/>
      <c r="E23" s="247"/>
      <c r="F23" s="4"/>
      <c r="G23" s="26" t="str">
        <f t="shared" si="1"/>
        <v>-</v>
      </c>
      <c r="H23" s="26" t="str">
        <f>IF(AND(ISNUMBER(D23),ISNUMBER(F23)),D23*G23,"-")</f>
        <v>-</v>
      </c>
    </row>
    <row r="24" spans="1:11" ht="6" customHeight="1" x14ac:dyDescent="0.2">
      <c r="A24" s="23"/>
      <c r="B24" s="24"/>
      <c r="C24" s="24"/>
      <c r="D24" s="247"/>
      <c r="E24" s="247"/>
      <c r="F24" s="248"/>
      <c r="G24" s="26"/>
      <c r="H24" s="26"/>
    </row>
    <row r="25" spans="1:11" x14ac:dyDescent="0.2">
      <c r="A25" s="23"/>
      <c r="B25" s="24"/>
      <c r="C25" s="24"/>
      <c r="D25" s="247"/>
      <c r="E25" s="247"/>
      <c r="F25" s="248"/>
      <c r="G25" s="26"/>
      <c r="H25" s="26"/>
    </row>
    <row r="26" spans="1:11" ht="6" customHeight="1" x14ac:dyDescent="0.2">
      <c r="A26" s="23"/>
      <c r="B26" s="24"/>
      <c r="C26" s="24"/>
      <c r="D26" s="247"/>
      <c r="E26" s="247"/>
      <c r="F26" s="248"/>
      <c r="G26" s="26"/>
      <c r="H26" s="26"/>
    </row>
    <row r="27" spans="1:11" x14ac:dyDescent="0.2">
      <c r="A27" s="23"/>
      <c r="B27" s="24"/>
      <c r="C27" s="24"/>
      <c r="D27" s="247"/>
      <c r="E27" s="247"/>
      <c r="F27" s="248"/>
      <c r="G27" s="26"/>
      <c r="H27" s="26"/>
    </row>
    <row r="28" spans="1:11" x14ac:dyDescent="0.2">
      <c r="A28" s="23"/>
      <c r="B28" s="24"/>
      <c r="C28" s="24"/>
      <c r="D28" s="25"/>
      <c r="E28" s="25"/>
      <c r="F28" s="27"/>
      <c r="G28" s="26"/>
      <c r="H28" s="26"/>
    </row>
    <row r="29" spans="1:11" ht="13.5" thickBot="1" x14ac:dyDescent="0.25">
      <c r="A29" s="7"/>
      <c r="B29" s="7"/>
      <c r="C29" s="7"/>
      <c r="D29" s="8"/>
      <c r="E29" s="8"/>
      <c r="F29" s="9"/>
      <c r="G29" s="9"/>
      <c r="H29" s="9"/>
    </row>
    <row r="30" spans="1:11" ht="18.75" thickBot="1" x14ac:dyDescent="0.25">
      <c r="A30" s="300" t="s">
        <v>16</v>
      </c>
      <c r="B30" s="300"/>
      <c r="C30" s="300"/>
      <c r="D30" s="300"/>
      <c r="E30" s="300"/>
      <c r="F30" s="300"/>
      <c r="G30" s="300"/>
      <c r="H30" s="300"/>
      <c r="K30" s="28"/>
    </row>
    <row r="31" spans="1:11" x14ac:dyDescent="0.2">
      <c r="A31" s="29" t="s">
        <v>13</v>
      </c>
      <c r="B31" s="29"/>
      <c r="C31" s="18"/>
      <c r="D31" s="18" t="s">
        <v>11</v>
      </c>
      <c r="E31" s="29"/>
      <c r="F31" s="29"/>
      <c r="G31" s="29"/>
      <c r="H31" s="29"/>
      <c r="K31" s="28"/>
    </row>
    <row r="32" spans="1:11" ht="13.5" thickBot="1" x14ac:dyDescent="0.25">
      <c r="A32" s="19" t="s">
        <v>14</v>
      </c>
      <c r="B32" s="20" t="s">
        <v>7</v>
      </c>
      <c r="C32" s="20"/>
      <c r="D32" s="21" t="str">
        <f>IF(Units="US CUSTOMARY"," (Ton or SY)"," (tonnes or m2)")</f>
        <v xml:space="preserve"> (Ton or SY)</v>
      </c>
      <c r="E32" s="22"/>
      <c r="F32" s="21" t="s">
        <v>0</v>
      </c>
      <c r="G32" s="21" t="str">
        <f>"Q_"&amp;IF(Units="US CUSTOMARY","Ton","t")&amp;" Unit Price"</f>
        <v>Q_Ton Unit Price</v>
      </c>
      <c r="H32" s="21" t="s">
        <v>1</v>
      </c>
    </row>
    <row r="33" spans="1:8" ht="13.5" thickTop="1" x14ac:dyDescent="0.2">
      <c r="A33" s="23">
        <v>401</v>
      </c>
      <c r="B33" s="24" t="s">
        <v>2</v>
      </c>
      <c r="C33" s="24"/>
      <c r="D33" s="3"/>
      <c r="E33" s="247"/>
      <c r="F33" s="4"/>
      <c r="G33" s="26" t="str">
        <f>IF(ISNUMBER(F33),ROUND(F33*0.06,2),"-")</f>
        <v>-</v>
      </c>
      <c r="H33" s="26" t="str">
        <f>IF(AND(ISNUMBER(D33),ISNUMBER(F33)),D33*G33,"-")</f>
        <v>-</v>
      </c>
    </row>
    <row r="34" spans="1:8" ht="6" customHeight="1" x14ac:dyDescent="0.2">
      <c r="A34" s="23"/>
      <c r="B34" s="24"/>
      <c r="C34" s="24"/>
      <c r="D34" s="247"/>
      <c r="E34" s="247"/>
      <c r="F34" s="248"/>
      <c r="G34" s="26"/>
      <c r="H34" s="26"/>
    </row>
    <row r="35" spans="1:8" x14ac:dyDescent="0.2">
      <c r="A35" s="23">
        <v>402</v>
      </c>
      <c r="B35" s="24" t="str">
        <f>IF(FP="FP-03","Hot ACP By Hveem or Marshall Mix Design","ACP By Hveem or Marshall Mix Design")</f>
        <v>ACP By Hveem or Marshall Mix Design</v>
      </c>
      <c r="C35" s="24"/>
      <c r="D35" s="3"/>
      <c r="E35" s="247"/>
      <c r="F35" s="4"/>
      <c r="G35" s="26" t="str">
        <f>IF(ISNUMBER(F35),ROUND(F35*0.06,2),"-")</f>
        <v>-</v>
      </c>
      <c r="H35" s="26" t="str">
        <f>IF(AND(ISNUMBER(D35),ISNUMBER(F35)),D35*G35,"-")</f>
        <v>-</v>
      </c>
    </row>
    <row r="36" spans="1:8" x14ac:dyDescent="0.2">
      <c r="A36" s="23"/>
      <c r="B36" s="24"/>
      <c r="C36" s="24"/>
      <c r="D36" s="25"/>
      <c r="E36" s="25"/>
      <c r="F36" s="27"/>
      <c r="G36" s="26"/>
      <c r="H36" s="26"/>
    </row>
    <row r="37" spans="1:8" x14ac:dyDescent="0.2">
      <c r="A37" s="7"/>
      <c r="B37" s="7"/>
      <c r="C37" s="7"/>
      <c r="D37" s="8"/>
      <c r="E37" s="8"/>
      <c r="F37" s="9"/>
      <c r="G37" s="9"/>
      <c r="H37" s="9"/>
    </row>
    <row r="38" spans="1:8" s="31" customFormat="1" x14ac:dyDescent="0.2">
      <c r="A38" s="302" t="s">
        <v>9</v>
      </c>
      <c r="B38" s="302"/>
      <c r="C38" s="302"/>
      <c r="D38" s="302"/>
      <c r="E38" s="302"/>
      <c r="F38" s="302"/>
      <c r="G38" s="302"/>
      <c r="H38" s="30">
        <f>SUM(H13,H15,H17,H19,H21,H23,H25,H27,H33,H35)</f>
        <v>0</v>
      </c>
    </row>
    <row r="39" spans="1:8" x14ac:dyDescent="0.2">
      <c r="A39" s="32"/>
      <c r="B39" s="32"/>
      <c r="C39" s="32"/>
      <c r="D39" s="32"/>
      <c r="E39" s="32"/>
      <c r="F39" s="32"/>
      <c r="G39" s="32"/>
      <c r="H39" s="33"/>
    </row>
    <row r="40" spans="1:8" x14ac:dyDescent="0.2">
      <c r="A40" s="32"/>
      <c r="B40" s="32"/>
      <c r="C40" s="32"/>
      <c r="D40" s="32"/>
      <c r="E40" s="32"/>
      <c r="F40" s="32"/>
      <c r="G40" s="32"/>
      <c r="H40" s="33"/>
    </row>
    <row r="41" spans="1:8" x14ac:dyDescent="0.2">
      <c r="A41" s="32"/>
      <c r="B41" s="32"/>
      <c r="C41" s="32"/>
      <c r="D41" s="32"/>
      <c r="E41" s="32"/>
      <c r="F41" s="32"/>
      <c r="G41" s="32"/>
      <c r="H41" s="33"/>
    </row>
    <row r="42" spans="1:8" ht="13.5" thickBot="1" x14ac:dyDescent="0.25">
      <c r="A42" s="7"/>
      <c r="B42" s="7"/>
      <c r="C42" s="7"/>
      <c r="D42" s="8"/>
      <c r="E42" s="8"/>
      <c r="F42" s="9"/>
      <c r="G42" s="9"/>
      <c r="H42" s="9"/>
    </row>
    <row r="43" spans="1:8" ht="18.75" thickBot="1" x14ac:dyDescent="0.25">
      <c r="A43" s="301" t="s">
        <v>17</v>
      </c>
      <c r="B43" s="301"/>
      <c r="C43" s="301"/>
      <c r="D43" s="301"/>
      <c r="E43" s="301"/>
      <c r="F43" s="301"/>
      <c r="G43" s="301"/>
      <c r="H43" s="301"/>
    </row>
    <row r="44" spans="1:8" x14ac:dyDescent="0.2">
      <c r="A44" s="29" t="s">
        <v>13</v>
      </c>
      <c r="B44" s="29"/>
      <c r="C44" s="29"/>
      <c r="D44" s="29" t="s">
        <v>12</v>
      </c>
      <c r="E44" s="29"/>
      <c r="F44" s="29"/>
      <c r="G44" s="29"/>
      <c r="H44" s="29"/>
    </row>
    <row r="45" spans="1:8" ht="13.5" thickBot="1" x14ac:dyDescent="0.25">
      <c r="A45" s="19" t="s">
        <v>14</v>
      </c>
      <c r="B45" s="20" t="s">
        <v>7</v>
      </c>
      <c r="C45" s="20"/>
      <c r="D45" s="22" t="str">
        <f>"Lane-"&amp;IF(Units="US CUSTOMARY","miles","kilometers")</f>
        <v>Lane-miles</v>
      </c>
      <c r="E45" s="22"/>
      <c r="F45" s="21"/>
      <c r="G45" s="21"/>
      <c r="H45" s="21" t="s">
        <v>1</v>
      </c>
    </row>
    <row r="46" spans="1:8" ht="13.5" thickTop="1" x14ac:dyDescent="0.2">
      <c r="A46" s="23">
        <v>401</v>
      </c>
      <c r="B46" s="7" t="s">
        <v>2</v>
      </c>
      <c r="C46" s="7"/>
      <c r="D46" s="5" t="s">
        <v>152</v>
      </c>
      <c r="E46" s="34"/>
      <c r="F46" s="26"/>
      <c r="G46" s="26"/>
      <c r="H46" s="26" t="str">
        <f>IF(ISNUMBER(D46),(IF(Units="US CUSTOMARY",80000,49600)*(1.05-1)*D46),"-")</f>
        <v>-</v>
      </c>
    </row>
    <row r="47" spans="1:8" ht="6" customHeight="1" x14ac:dyDescent="0.2">
      <c r="A47" s="23"/>
      <c r="B47" s="7"/>
      <c r="C47" s="7"/>
      <c r="D47" s="249"/>
      <c r="E47" s="34"/>
      <c r="F47" s="26"/>
      <c r="G47" s="26"/>
      <c r="H47" s="26"/>
    </row>
    <row r="48" spans="1:8" x14ac:dyDescent="0.2">
      <c r="A48" s="23">
        <v>402</v>
      </c>
      <c r="B48" s="7" t="str">
        <f>IF(FP="FP-03","Hot ACP By Hveem or Marshall Mix Design","ACP By Hveem or Marshall Mix Design")</f>
        <v>ACP By Hveem or Marshall Mix Design</v>
      </c>
      <c r="C48" s="7"/>
      <c r="D48" s="5"/>
      <c r="E48" s="34"/>
      <c r="F48" s="26"/>
      <c r="G48" s="26"/>
      <c r="H48" s="26" t="str">
        <f>IF(ISNUMBER(D48),(IF(Units="US CUSTOMARY",80000,49600)*(1.05-1)*D48),"-")</f>
        <v>-</v>
      </c>
    </row>
    <row r="49" spans="1:8" x14ac:dyDescent="0.2">
      <c r="A49" s="23"/>
      <c r="B49" s="7"/>
      <c r="C49" s="7"/>
      <c r="D49" s="34"/>
      <c r="E49" s="34"/>
      <c r="F49" s="26"/>
      <c r="G49" s="26"/>
      <c r="H49" s="26"/>
    </row>
    <row r="50" spans="1:8" x14ac:dyDescent="0.2">
      <c r="A50" s="7"/>
      <c r="B50" s="7"/>
      <c r="C50" s="7"/>
      <c r="D50" s="8"/>
      <c r="E50" s="8"/>
      <c r="F50" s="9"/>
      <c r="G50" s="9"/>
      <c r="H50" s="9"/>
    </row>
    <row r="51" spans="1:8" x14ac:dyDescent="0.2">
      <c r="A51" s="302" t="s">
        <v>10</v>
      </c>
      <c r="B51" s="302"/>
      <c r="C51" s="302"/>
      <c r="D51" s="302"/>
      <c r="E51" s="302"/>
      <c r="F51" s="302"/>
      <c r="G51" s="302"/>
      <c r="H51" s="35">
        <f>SUM(H46,H48)</f>
        <v>0</v>
      </c>
    </row>
    <row r="52" spans="1:8" x14ac:dyDescent="0.2">
      <c r="A52" s="7"/>
      <c r="B52" s="7"/>
      <c r="C52" s="7"/>
      <c r="D52" s="8"/>
      <c r="E52" s="8"/>
      <c r="F52" s="9"/>
      <c r="G52" s="36"/>
      <c r="H52" s="37"/>
    </row>
    <row r="53" spans="1:8" x14ac:dyDescent="0.2">
      <c r="A53" s="7"/>
      <c r="B53" s="7"/>
      <c r="C53" s="7"/>
      <c r="D53" s="8"/>
      <c r="E53" s="8"/>
      <c r="F53" s="9"/>
      <c r="G53" s="36"/>
      <c r="H53" s="37"/>
    </row>
    <row r="54" spans="1:8" x14ac:dyDescent="0.2">
      <c r="A54" s="7"/>
      <c r="B54" s="7"/>
      <c r="C54" s="7"/>
      <c r="D54" s="8"/>
      <c r="E54" s="8"/>
      <c r="F54" s="9"/>
      <c r="G54" s="36"/>
      <c r="H54" s="37"/>
    </row>
    <row r="55" spans="1:8" x14ac:dyDescent="0.2">
      <c r="A55" s="7"/>
      <c r="B55" s="7"/>
      <c r="C55" s="7"/>
      <c r="D55" s="8"/>
      <c r="E55" s="8"/>
      <c r="F55" s="9"/>
      <c r="G55" s="36"/>
      <c r="H55" s="37"/>
    </row>
    <row r="56" spans="1:8" x14ac:dyDescent="0.2">
      <c r="A56" s="7"/>
      <c r="B56" s="7"/>
      <c r="C56" s="7"/>
      <c r="D56" s="8"/>
      <c r="E56" s="8"/>
      <c r="F56" s="9"/>
      <c r="G56" s="36"/>
      <c r="H56" s="37"/>
    </row>
    <row r="57" spans="1:8" x14ac:dyDescent="0.2">
      <c r="A57" s="7"/>
      <c r="B57" s="7"/>
      <c r="C57" s="7"/>
      <c r="D57" s="8"/>
      <c r="E57" s="8"/>
      <c r="F57" s="9"/>
      <c r="G57" s="36"/>
      <c r="H57" s="37"/>
    </row>
    <row r="58" spans="1:8" x14ac:dyDescent="0.2">
      <c r="A58" s="7"/>
      <c r="B58" s="7"/>
      <c r="C58" s="7"/>
      <c r="D58" s="8"/>
      <c r="E58" s="8"/>
      <c r="F58" s="9"/>
      <c r="G58" s="9"/>
      <c r="H58" s="9"/>
    </row>
    <row r="59" spans="1:8" x14ac:dyDescent="0.2">
      <c r="A59" s="7"/>
      <c r="B59" s="7"/>
      <c r="C59" s="7"/>
      <c r="D59" s="8"/>
      <c r="E59" s="8"/>
      <c r="F59" s="9"/>
      <c r="G59" s="9"/>
      <c r="H59" s="9"/>
    </row>
    <row r="60" spans="1:8" x14ac:dyDescent="0.2">
      <c r="A60" s="40" t="s">
        <v>18</v>
      </c>
      <c r="B60" s="41" t="s">
        <v>19</v>
      </c>
      <c r="C60" s="41"/>
      <c r="D60" s="8"/>
      <c r="E60" s="8"/>
      <c r="F60" s="9"/>
      <c r="G60" s="9"/>
      <c r="H60" s="9"/>
    </row>
    <row r="61" spans="1:8" x14ac:dyDescent="0.2">
      <c r="A61" s="41"/>
      <c r="B61" s="41" t="s">
        <v>20</v>
      </c>
      <c r="C61" s="41"/>
      <c r="D61" s="8"/>
      <c r="E61" s="8"/>
      <c r="F61" s="9"/>
      <c r="G61" s="9"/>
      <c r="H61" s="9"/>
    </row>
    <row r="62" spans="1:8" x14ac:dyDescent="0.2">
      <c r="A62" s="41"/>
      <c r="B62" s="41"/>
      <c r="C62" s="41"/>
      <c r="D62" s="8"/>
      <c r="E62" s="8"/>
      <c r="F62" s="9"/>
      <c r="G62" s="9"/>
      <c r="H62" s="9"/>
    </row>
    <row r="63" spans="1:8" x14ac:dyDescent="0.2">
      <c r="A63" s="40" t="s">
        <v>21</v>
      </c>
      <c r="B63" s="41" t="s">
        <v>22</v>
      </c>
      <c r="C63" s="41"/>
      <c r="D63" s="8"/>
      <c r="E63" s="8"/>
      <c r="F63" s="9"/>
      <c r="G63" s="9"/>
      <c r="H63" s="9"/>
    </row>
    <row r="64" spans="1:8" x14ac:dyDescent="0.2">
      <c r="A64" s="41"/>
      <c r="B64" s="41" t="s">
        <v>20</v>
      </c>
      <c r="C64" s="41"/>
      <c r="D64" s="8"/>
      <c r="E64" s="8"/>
      <c r="F64" s="9"/>
      <c r="G64" s="9"/>
      <c r="H64" s="9"/>
    </row>
    <row r="65" spans="1:8" x14ac:dyDescent="0.2">
      <c r="A65" s="41"/>
      <c r="B65" s="41"/>
      <c r="C65" s="41"/>
      <c r="D65" s="8"/>
      <c r="E65" s="8"/>
      <c r="F65" s="9"/>
      <c r="G65" s="9"/>
      <c r="H65" s="9"/>
    </row>
    <row r="66" spans="1:8" x14ac:dyDescent="0.2">
      <c r="A66" s="40" t="s">
        <v>23</v>
      </c>
      <c r="B66" s="41" t="str">
        <f>"Incentive Amt = (Lane-"&amp;IF(Units="US CUSTOMARY","miles","kilometers")&amp;" x "&amp;IF(Units="US CUSTOMARY","80,000 x 0.05)","49,600 x 0.05)")</f>
        <v>Incentive Amt = (Lane-miles x 80,000 x 0.05)</v>
      </c>
      <c r="C66" s="41"/>
      <c r="D66" s="8"/>
      <c r="E66" s="8"/>
      <c r="F66" s="9"/>
      <c r="G66" s="9"/>
      <c r="H66" s="9"/>
    </row>
    <row r="67" spans="1:8" ht="18" x14ac:dyDescent="0.25">
      <c r="A67" s="298" t="s">
        <v>28</v>
      </c>
      <c r="B67" s="298"/>
      <c r="C67" s="298"/>
      <c r="D67" s="298"/>
      <c r="E67" s="298"/>
      <c r="F67" s="298"/>
      <c r="G67" s="298"/>
      <c r="H67" s="298"/>
    </row>
    <row r="68" spans="1:8" x14ac:dyDescent="0.2">
      <c r="A68" s="7"/>
      <c r="B68" s="7"/>
      <c r="C68" s="11" t="s">
        <v>24</v>
      </c>
      <c r="D68" s="12" t="str">
        <f>IF(FP="FP-03","FP-03","FP-14")</f>
        <v>FP-14</v>
      </c>
      <c r="E68" s="8"/>
      <c r="F68" s="9"/>
      <c r="G68" s="9"/>
      <c r="H68" s="9"/>
    </row>
    <row r="69" spans="1:8" x14ac:dyDescent="0.2">
      <c r="A69" s="7"/>
      <c r="B69" s="7"/>
      <c r="C69" s="7"/>
      <c r="D69" s="10"/>
      <c r="E69" s="8"/>
      <c r="F69" s="9"/>
      <c r="G69" s="9"/>
      <c r="H69" s="9"/>
    </row>
    <row r="70" spans="1:8" x14ac:dyDescent="0.2">
      <c r="A70" s="11" t="s">
        <v>3</v>
      </c>
      <c r="B70" s="294" t="str">
        <f>+B4</f>
        <v>Enter Project Number</v>
      </c>
      <c r="C70" s="294"/>
      <c r="D70" s="12"/>
      <c r="E70" s="12"/>
      <c r="F70" s="13"/>
      <c r="G70" s="14" t="s">
        <v>5</v>
      </c>
      <c r="H70" s="15">
        <f ca="1" xml:space="preserve"> TODAY()</f>
        <v>43503</v>
      </c>
    </row>
    <row r="71" spans="1:8" ht="4.5" customHeight="1" x14ac:dyDescent="0.2">
      <c r="A71" s="11"/>
      <c r="B71" s="294"/>
      <c r="C71" s="294"/>
      <c r="D71" s="12"/>
      <c r="E71" s="12"/>
      <c r="F71" s="13"/>
      <c r="G71" s="14"/>
      <c r="H71" s="15"/>
    </row>
    <row r="72" spans="1:8" x14ac:dyDescent="0.2">
      <c r="A72" s="11" t="s">
        <v>4</v>
      </c>
      <c r="B72" s="303" t="str">
        <f>+B6</f>
        <v>Enter Project name</v>
      </c>
      <c r="C72" s="303"/>
      <c r="D72" s="303"/>
      <c r="E72" s="303"/>
      <c r="F72" s="303"/>
      <c r="G72" s="14" t="str">
        <f>+G6</f>
        <v xml:space="preserve">Option: </v>
      </c>
      <c r="H72" s="17" t="str">
        <f>+H6</f>
        <v>X</v>
      </c>
    </row>
    <row r="73" spans="1:8" x14ac:dyDescent="0.2">
      <c r="A73" s="7"/>
      <c r="B73" s="7"/>
      <c r="C73" s="7"/>
      <c r="D73" s="8"/>
      <c r="E73" s="8"/>
      <c r="F73" s="9"/>
      <c r="G73" s="14" t="s">
        <v>8</v>
      </c>
      <c r="H73" s="13" t="str">
        <f>+Units</f>
        <v>US CUSTOMARY</v>
      </c>
    </row>
    <row r="74" spans="1:8" ht="6.75" customHeight="1" thickBot="1" x14ac:dyDescent="0.25">
      <c r="A74" s="7"/>
      <c r="B74" s="7"/>
      <c r="C74" s="7"/>
      <c r="D74" s="8"/>
      <c r="E74" s="8"/>
      <c r="F74" s="9"/>
      <c r="G74" s="14"/>
      <c r="H74" s="13"/>
    </row>
    <row r="75" spans="1:8" ht="19.5" customHeight="1" thickBot="1" x14ac:dyDescent="0.25">
      <c r="A75" s="231" t="s">
        <v>33</v>
      </c>
      <c r="B75" s="232"/>
      <c r="C75" s="232"/>
      <c r="D75" s="232"/>
      <c r="E75" s="232"/>
      <c r="F75" s="232"/>
      <c r="G75" s="232"/>
      <c r="H75" s="233"/>
    </row>
    <row r="76" spans="1:8" ht="5.25" customHeight="1" x14ac:dyDescent="0.2">
      <c r="A76" s="18"/>
      <c r="B76" s="44"/>
      <c r="C76" s="44"/>
      <c r="D76" s="45"/>
      <c r="E76" s="46"/>
      <c r="F76" s="45"/>
      <c r="G76" s="45"/>
      <c r="H76" s="45"/>
    </row>
    <row r="77" spans="1:8" x14ac:dyDescent="0.2">
      <c r="A77" s="57" t="s">
        <v>29</v>
      </c>
      <c r="B77" s="58"/>
      <c r="C77" s="59" t="s">
        <v>89</v>
      </c>
      <c r="D77" s="60" t="str">
        <f>IF(Units="US CUSTOMARY"," CUYD"," m3")</f>
        <v xml:space="preserve"> CUYD</v>
      </c>
      <c r="E77" s="61"/>
      <c r="F77" s="62" t="s">
        <v>32</v>
      </c>
      <c r="G77" s="45"/>
      <c r="H77" s="45"/>
    </row>
    <row r="78" spans="1:8" x14ac:dyDescent="0.2">
      <c r="A78" s="189">
        <v>20401</v>
      </c>
      <c r="B78" s="190" t="s">
        <v>30</v>
      </c>
      <c r="C78" s="308">
        <f>IF(Units="US Customary", 0.3, 0.39)</f>
        <v>0.3</v>
      </c>
      <c r="D78" s="192"/>
      <c r="E78" s="193"/>
      <c r="F78" s="210" t="str">
        <f>IF(ISNUMBER(D78),+C$78*D78, "-")</f>
        <v>-</v>
      </c>
      <c r="G78" s="26"/>
      <c r="H78" s="26"/>
    </row>
    <row r="79" spans="1:8" x14ac:dyDescent="0.2">
      <c r="A79" s="189">
        <v>20402</v>
      </c>
      <c r="B79" s="190" t="s">
        <v>35</v>
      </c>
      <c r="C79" s="309"/>
      <c r="D79" s="192"/>
      <c r="E79" s="193"/>
      <c r="F79" s="210" t="str">
        <f t="shared" ref="F79:F87" si="2">IF(ISNUMBER(D79),+C$78*D79, "-")</f>
        <v>-</v>
      </c>
      <c r="G79" s="26"/>
      <c r="H79" s="26"/>
    </row>
    <row r="80" spans="1:8" x14ac:dyDescent="0.2">
      <c r="A80" s="189">
        <v>20403</v>
      </c>
      <c r="B80" s="190" t="s">
        <v>31</v>
      </c>
      <c r="C80" s="309"/>
      <c r="D80" s="192"/>
      <c r="E80" s="193"/>
      <c r="F80" s="210" t="str">
        <f t="shared" si="2"/>
        <v>-</v>
      </c>
      <c r="G80" s="26"/>
      <c r="H80" s="26"/>
    </row>
    <row r="81" spans="1:8" x14ac:dyDescent="0.2">
      <c r="A81" s="189">
        <v>20404</v>
      </c>
      <c r="B81" s="191" t="s">
        <v>38</v>
      </c>
      <c r="C81" s="309"/>
      <c r="D81" s="192"/>
      <c r="E81" s="193"/>
      <c r="F81" s="210" t="str">
        <f t="shared" si="2"/>
        <v>-</v>
      </c>
      <c r="G81" s="26"/>
      <c r="H81" s="26"/>
    </row>
    <row r="82" spans="1:8" x14ac:dyDescent="0.2">
      <c r="A82" s="189">
        <v>20410</v>
      </c>
      <c r="B82" s="191" t="s">
        <v>34</v>
      </c>
      <c r="C82" s="309"/>
      <c r="D82" s="192"/>
      <c r="E82" s="193"/>
      <c r="F82" s="210" t="str">
        <f t="shared" si="2"/>
        <v>-</v>
      </c>
      <c r="G82" s="26"/>
      <c r="H82" s="26"/>
    </row>
    <row r="83" spans="1:8" x14ac:dyDescent="0.2">
      <c r="A83" s="189">
        <v>20411</v>
      </c>
      <c r="B83" s="191" t="s">
        <v>39</v>
      </c>
      <c r="C83" s="309"/>
      <c r="D83" s="192"/>
      <c r="E83" s="193"/>
      <c r="F83" s="210" t="str">
        <f t="shared" si="2"/>
        <v>-</v>
      </c>
      <c r="G83" s="26"/>
      <c r="H83" s="26"/>
    </row>
    <row r="84" spans="1:8" x14ac:dyDescent="0.2">
      <c r="A84" s="189">
        <v>20415</v>
      </c>
      <c r="B84" s="191" t="s">
        <v>36</v>
      </c>
      <c r="C84" s="309"/>
      <c r="D84" s="192"/>
      <c r="E84" s="193"/>
      <c r="F84" s="210" t="str">
        <f t="shared" si="2"/>
        <v>-</v>
      </c>
      <c r="G84" s="26"/>
      <c r="H84" s="26"/>
    </row>
    <row r="85" spans="1:8" x14ac:dyDescent="0.2">
      <c r="A85" s="189">
        <v>20416</v>
      </c>
      <c r="B85" s="191" t="s">
        <v>40</v>
      </c>
      <c r="C85" s="309"/>
      <c r="D85" s="192"/>
      <c r="E85" s="193"/>
      <c r="F85" s="210" t="str">
        <f t="shared" si="2"/>
        <v>-</v>
      </c>
      <c r="G85" s="26"/>
      <c r="H85" s="26"/>
    </row>
    <row r="86" spans="1:8" x14ac:dyDescent="0.2">
      <c r="A86" s="189">
        <v>20420</v>
      </c>
      <c r="B86" s="191" t="s">
        <v>136</v>
      </c>
      <c r="C86" s="309"/>
      <c r="D86" s="192"/>
      <c r="E86" s="193"/>
      <c r="F86" s="210" t="str">
        <f t="shared" si="2"/>
        <v>-</v>
      </c>
      <c r="G86" s="26"/>
      <c r="H86" s="26"/>
    </row>
    <row r="87" spans="1:8" x14ac:dyDescent="0.2">
      <c r="A87" s="189">
        <v>20421</v>
      </c>
      <c r="B87" s="191" t="s">
        <v>37</v>
      </c>
      <c r="C87" s="309"/>
      <c r="D87" s="192"/>
      <c r="E87" s="193"/>
      <c r="F87" s="210" t="str">
        <f t="shared" si="2"/>
        <v>-</v>
      </c>
      <c r="G87" s="26"/>
      <c r="H87" s="26"/>
    </row>
    <row r="88" spans="1:8" x14ac:dyDescent="0.2">
      <c r="A88" s="63" t="s">
        <v>45</v>
      </c>
      <c r="B88" s="64"/>
      <c r="C88" s="59" t="s">
        <v>89</v>
      </c>
      <c r="D88" s="60" t="str">
        <f>IF(Units="US CUSTOMARY"," Tons"," tonnes")</f>
        <v xml:space="preserve"> Tons</v>
      </c>
      <c r="E88" s="61"/>
      <c r="F88" s="62" t="s">
        <v>32</v>
      </c>
      <c r="G88" s="26"/>
      <c r="H88" s="26"/>
    </row>
    <row r="89" spans="1:8" x14ac:dyDescent="0.2">
      <c r="A89" s="189">
        <v>30101</v>
      </c>
      <c r="B89" s="191" t="s">
        <v>41</v>
      </c>
      <c r="C89" s="310">
        <f>IF(Units="US Customary", 0.7, 0.77)</f>
        <v>0.7</v>
      </c>
      <c r="D89" s="192"/>
      <c r="E89" s="193"/>
      <c r="F89" s="210" t="str">
        <f>IF(ISNUMBER(D89),+C$89*D89, "-")</f>
        <v>-</v>
      </c>
      <c r="G89" s="26"/>
      <c r="H89" s="26"/>
    </row>
    <row r="90" spans="1:8" x14ac:dyDescent="0.2">
      <c r="A90" s="189">
        <v>30102</v>
      </c>
      <c r="B90" s="191" t="s">
        <v>42</v>
      </c>
      <c r="C90" s="311"/>
      <c r="D90" s="192"/>
      <c r="E90" s="193"/>
      <c r="F90" s="210" t="str">
        <f t="shared" ref="F90:F97" si="3">IF(ISNUMBER(D90),+C$89*D90, "-")</f>
        <v>-</v>
      </c>
      <c r="G90" s="26"/>
      <c r="H90" s="26"/>
    </row>
    <row r="91" spans="1:8" x14ac:dyDescent="0.2">
      <c r="A91" s="189">
        <v>30103</v>
      </c>
      <c r="B91" s="191" t="s">
        <v>42</v>
      </c>
      <c r="C91" s="311"/>
      <c r="D91" s="192"/>
      <c r="E91" s="193"/>
      <c r="F91" s="210" t="str">
        <f t="shared" si="3"/>
        <v>-</v>
      </c>
      <c r="G91" s="26"/>
      <c r="H91" s="26"/>
    </row>
    <row r="92" spans="1:8" x14ac:dyDescent="0.2">
      <c r="A92" s="237">
        <v>30105</v>
      </c>
      <c r="B92" s="238" t="s">
        <v>43</v>
      </c>
      <c r="C92" s="311"/>
      <c r="D92" s="192"/>
      <c r="E92" s="193"/>
      <c r="F92" s="210" t="str">
        <f t="shared" si="3"/>
        <v>-</v>
      </c>
      <c r="G92" s="26"/>
      <c r="H92" s="26"/>
    </row>
    <row r="93" spans="1:8" x14ac:dyDescent="0.2">
      <c r="A93" s="237">
        <v>30106</v>
      </c>
      <c r="B93" s="238" t="s">
        <v>44</v>
      </c>
      <c r="C93" s="311"/>
      <c r="D93" s="192"/>
      <c r="E93" s="193"/>
      <c r="F93" s="210" t="str">
        <f t="shared" si="3"/>
        <v>-</v>
      </c>
      <c r="G93" s="26"/>
      <c r="H93" s="26"/>
    </row>
    <row r="94" spans="1:8" x14ac:dyDescent="0.2">
      <c r="A94" s="237">
        <v>30107</v>
      </c>
      <c r="B94" s="238" t="s">
        <v>44</v>
      </c>
      <c r="C94" s="311"/>
      <c r="D94" s="192"/>
      <c r="E94" s="193"/>
      <c r="F94" s="210" t="str">
        <f t="shared" si="3"/>
        <v>-</v>
      </c>
      <c r="G94" s="26"/>
      <c r="H94" s="26"/>
    </row>
    <row r="95" spans="1:8" x14ac:dyDescent="0.2">
      <c r="A95" s="237">
        <v>30110</v>
      </c>
      <c r="B95" s="238" t="s">
        <v>137</v>
      </c>
      <c r="C95" s="311"/>
      <c r="D95" s="192"/>
      <c r="E95" s="193"/>
      <c r="F95" s="210" t="str">
        <f t="shared" si="3"/>
        <v>-</v>
      </c>
      <c r="G95" s="26"/>
      <c r="H95" s="26"/>
    </row>
    <row r="96" spans="1:8" x14ac:dyDescent="0.2">
      <c r="A96" s="237">
        <v>30111</v>
      </c>
      <c r="B96" s="238" t="s">
        <v>138</v>
      </c>
      <c r="C96" s="311"/>
      <c r="D96" s="192"/>
      <c r="E96" s="193"/>
      <c r="F96" s="210" t="str">
        <f t="shared" si="3"/>
        <v>-</v>
      </c>
      <c r="G96" s="26"/>
      <c r="H96" s="26"/>
    </row>
    <row r="97" spans="1:8" x14ac:dyDescent="0.2">
      <c r="A97" s="237">
        <v>30112</v>
      </c>
      <c r="B97" s="238" t="s">
        <v>138</v>
      </c>
      <c r="C97" s="311"/>
      <c r="D97" s="192"/>
      <c r="E97" s="193"/>
      <c r="F97" s="210" t="str">
        <f t="shared" si="3"/>
        <v>-</v>
      </c>
      <c r="G97" s="26"/>
      <c r="H97" s="26"/>
    </row>
    <row r="98" spans="1:8" x14ac:dyDescent="0.2">
      <c r="A98" s="63" t="str">
        <f>IF(FP="FP-03","Section 302 - Untreated Aggregate Courses","Section 305 - Full Depth reclamation (FDR) with Cement")</f>
        <v>Section 305 - Full Depth reclamation (FDR) with Cement</v>
      </c>
      <c r="B98" s="64"/>
      <c r="C98" s="59" t="s">
        <v>89</v>
      </c>
      <c r="D98" s="60" t="str">
        <f>IF(Units="US CUSTOMARY",(VLOOKUP(A100,'VLookup table'!A1:E6,4)),(VLOOKUP(A100,'VLookup table'!A1:E6,5)))</f>
        <v>SQYD</v>
      </c>
      <c r="E98" s="65"/>
      <c r="F98" s="62" t="s">
        <v>32</v>
      </c>
      <c r="G98" s="26"/>
      <c r="H98" s="26"/>
    </row>
    <row r="99" spans="1:8" x14ac:dyDescent="0.2">
      <c r="A99" s="189" t="str">
        <f>IF(FP="FP-03","30201","30501")</f>
        <v>30501</v>
      </c>
      <c r="B99" s="190" t="str">
        <f>IF(FP="FP-03","Treated aggregate course","FDR with cement*")</f>
        <v>FDR with cement*</v>
      </c>
      <c r="C99" s="311">
        <f>IF(Units="US CUSTOMARY",(VLOOKUP(A100,'VLookup table'!A2:G8,6)),(VLOOKUP(A100,'VLookup table'!A2:G8,7)))</f>
        <v>0.3</v>
      </c>
      <c r="D99" s="192"/>
      <c r="E99" s="193"/>
      <c r="F99" s="210" t="str">
        <f>IF(ISNUMBER(D99),+C$99*D99, "-")</f>
        <v>-</v>
      </c>
      <c r="G99" s="26"/>
      <c r="H99" s="26"/>
    </row>
    <row r="100" spans="1:8" x14ac:dyDescent="0.2">
      <c r="A100" s="189" t="str">
        <f>IF(FP="FP-03","30202","30502")</f>
        <v>30502</v>
      </c>
      <c r="B100" s="190" t="str">
        <f>IF(FP="FP-03","Treated aggregate course*","FDR with cement")</f>
        <v>FDR with cement</v>
      </c>
      <c r="C100" s="311"/>
      <c r="D100" s="192"/>
      <c r="E100" s="193"/>
      <c r="F100" s="210" t="str">
        <f>IF(ISNUMBER(D100),+C$99*D100, "-")</f>
        <v>-</v>
      </c>
      <c r="G100" s="26"/>
      <c r="H100" s="26"/>
    </row>
    <row r="101" spans="1:8" x14ac:dyDescent="0.2">
      <c r="A101" s="63" t="str">
        <f>IF(FP="FP-03","Section 304 - Aggregate Stabilization","Section 306 - Full Depth Reclamation (FDR) with Asphalt")</f>
        <v>Section 306 - Full Depth Reclamation (FDR) with Asphalt</v>
      </c>
      <c r="B101" s="66"/>
      <c r="C101" s="59" t="s">
        <v>89</v>
      </c>
      <c r="D101" s="60" t="str">
        <f>IF(Units="US CUSTOMARY",(VLOOKUP(A103,'VLookup table'!A7:E17,4)),(VLOOKUP(A103,'VLookup table'!A7:E17,5)))</f>
        <v>SQYD</v>
      </c>
      <c r="E101" s="65"/>
      <c r="F101" s="62" t="s">
        <v>32</v>
      </c>
      <c r="G101" s="26"/>
      <c r="H101" s="26"/>
    </row>
    <row r="102" spans="1:8" x14ac:dyDescent="0.2">
      <c r="A102" s="189" t="str">
        <f>IF(FP="FP-03","30401","30601")</f>
        <v>30601</v>
      </c>
      <c r="B102" s="194" t="str">
        <f>IF(FP="FP-03","Aggregate stabilzation imported aggregate","FDR with emulsified asphalt*")</f>
        <v>FDR with emulsified asphalt*</v>
      </c>
      <c r="C102" s="310">
        <f>IF(Units="US CUSTOMARY",(VLOOKUP(A103,'VLookup table'!A2:G8,6)),(VLOOKUP(A103,'VLookup table'!A2:G8,7)))</f>
        <v>0.3</v>
      </c>
      <c r="D102" s="192"/>
      <c r="E102" s="193"/>
      <c r="F102" s="210" t="str">
        <f>IF(ISNUMBER(D102),+C$102*D102, "-")</f>
        <v>-</v>
      </c>
      <c r="G102" s="74"/>
      <c r="H102" s="26"/>
    </row>
    <row r="103" spans="1:8" x14ac:dyDescent="0.2">
      <c r="A103" s="189" t="str">
        <f>IF(FP="FP-03","30402","30602")</f>
        <v>30602</v>
      </c>
      <c r="B103" s="194" t="str">
        <f>IF(FP="FP-03","Aggregate stabilzation imported aggregate*","FDR with emulsified asphalt")</f>
        <v>FDR with emulsified asphalt</v>
      </c>
      <c r="C103" s="311"/>
      <c r="D103" s="192"/>
      <c r="E103" s="193"/>
      <c r="F103" s="210" t="str">
        <f t="shared" ref="F103:F106" si="4">IF(ISNUMBER(D103),+C$102*D103, "-")</f>
        <v>-</v>
      </c>
      <c r="G103" s="74"/>
      <c r="H103" s="26"/>
    </row>
    <row r="104" spans="1:8" x14ac:dyDescent="0.2">
      <c r="A104" s="189" t="str">
        <f>IF(FP="FP-03","30405","30603")</f>
        <v>30603</v>
      </c>
      <c r="B104" s="194" t="str">
        <f>IF(FP="FP-03","Aggregate stabilzation in-place aggregate*","FDR with foamed asphalt*")</f>
        <v>FDR with foamed asphalt*</v>
      </c>
      <c r="C104" s="311"/>
      <c r="D104" s="192"/>
      <c r="E104" s="193"/>
      <c r="F104" s="210" t="str">
        <f t="shared" si="4"/>
        <v>-</v>
      </c>
      <c r="G104" s="74"/>
      <c r="H104" s="26"/>
    </row>
    <row r="105" spans="1:8" ht="22.5" customHeight="1" x14ac:dyDescent="0.2">
      <c r="A105" s="195" t="str">
        <f>IF(FP="FP-03","30410","30604")</f>
        <v>30604</v>
      </c>
      <c r="B105" s="196" t="str">
        <f>IF(FP="FP-03","Aggregate stabilzation imported surface course*","FDR with foamed asphalt")</f>
        <v>FDR with foamed asphalt</v>
      </c>
      <c r="C105" s="311"/>
      <c r="D105" s="197"/>
      <c r="E105" s="198"/>
      <c r="F105" s="210" t="str">
        <f t="shared" si="4"/>
        <v>-</v>
      </c>
      <c r="G105" s="74"/>
      <c r="H105" s="26"/>
    </row>
    <row r="106" spans="1:8" ht="22.5" customHeight="1" x14ac:dyDescent="0.2">
      <c r="A106" s="195" t="str">
        <f>IF(FP="FP-03","30411","")</f>
        <v/>
      </c>
      <c r="B106" s="196" t="str">
        <f>IF(FP="FP-03","Aggregate stabilzation imported surface course*"," ")</f>
        <v xml:space="preserve"> </v>
      </c>
      <c r="C106" s="311"/>
      <c r="D106" s="197"/>
      <c r="E106" s="198"/>
      <c r="F106" s="210" t="str">
        <f t="shared" si="4"/>
        <v>-</v>
      </c>
      <c r="G106" s="74"/>
      <c r="H106" s="26"/>
    </row>
    <row r="107" spans="1:8" x14ac:dyDescent="0.2">
      <c r="A107" s="63" t="s">
        <v>139</v>
      </c>
      <c r="B107" s="66"/>
      <c r="C107" s="59" t="s">
        <v>89</v>
      </c>
      <c r="D107" s="60" t="str">
        <f>IF(Units="US CUSTOMARY"," Tons"," tonnes")</f>
        <v xml:space="preserve"> Tons</v>
      </c>
      <c r="E107" s="65"/>
      <c r="F107" s="67" t="s">
        <v>32</v>
      </c>
      <c r="G107" s="26"/>
      <c r="H107" s="26"/>
    </row>
    <row r="108" spans="1:8" x14ac:dyDescent="0.2">
      <c r="A108" s="189">
        <v>30901</v>
      </c>
      <c r="B108" s="239" t="s">
        <v>78</v>
      </c>
      <c r="C108" s="310">
        <f>IF(Units="US Customary", 0.7, 0.77)</f>
        <v>0.7</v>
      </c>
      <c r="D108" s="192"/>
      <c r="E108" s="193"/>
      <c r="F108" s="210" t="str">
        <f>IF(ISNUMBER(D108),+C$108*D108, "-")</f>
        <v>-</v>
      </c>
      <c r="G108" s="26"/>
      <c r="H108" s="26"/>
    </row>
    <row r="109" spans="1:8" x14ac:dyDescent="0.2">
      <c r="A109" s="189">
        <v>30902</v>
      </c>
      <c r="B109" s="239" t="s">
        <v>79</v>
      </c>
      <c r="C109" s="311"/>
      <c r="D109" s="192"/>
      <c r="E109" s="193"/>
      <c r="F109" s="210" t="str">
        <f t="shared" ref="F109:F110" si="5">IF(ISNUMBER(D109),+C$108*D109, "-")</f>
        <v>-</v>
      </c>
      <c r="G109" s="26"/>
      <c r="H109" s="26"/>
    </row>
    <row r="110" spans="1:8" x14ac:dyDescent="0.2">
      <c r="A110" s="189">
        <v>30903</v>
      </c>
      <c r="B110" s="239" t="s">
        <v>79</v>
      </c>
      <c r="C110" s="311"/>
      <c r="D110" s="192"/>
      <c r="E110" s="193"/>
      <c r="F110" s="210" t="str">
        <f t="shared" si="5"/>
        <v>-</v>
      </c>
      <c r="G110" s="26"/>
      <c r="H110" s="26"/>
    </row>
    <row r="111" spans="1:8" x14ac:dyDescent="0.2">
      <c r="A111" s="63" t="str">
        <f>IF(FP="FP-03","Section 401 - Superpave HACP","Section 310 - Cold In-Place (CIP) Recycled Asphalt Base")</f>
        <v>Section 310 - Cold In-Place (CIP) Recycled Asphalt Base</v>
      </c>
      <c r="B111" s="58"/>
      <c r="C111" s="59" t="s">
        <v>89</v>
      </c>
      <c r="D111" s="82" t="str">
        <f>IF(Units="US CUSTOMARY", (VLOOKUP(A113,'VLookup table'!A18:G27,4)),(VLOOKUP(A113,'VLookup table'!A18:G27,5)))</f>
        <v>SQYD</v>
      </c>
      <c r="E111" s="65"/>
      <c r="F111" s="67" t="s">
        <v>32</v>
      </c>
      <c r="G111" s="84"/>
      <c r="H111" s="26"/>
    </row>
    <row r="112" spans="1:8" x14ac:dyDescent="0.2">
      <c r="A112" s="189" t="str">
        <f>IF(FP="FP-03","40101","31001")</f>
        <v>31001</v>
      </c>
      <c r="B112" s="190" t="str">
        <f>IF(FP="FP-03","Superpave pavement","CIP recycled ashalt base*")</f>
        <v>CIP recycled ashalt base*</v>
      </c>
      <c r="C112" s="311">
        <f>IF(Units="US CUSTOMARY",(VLOOKUP(A113,'VLookup table'!A18:G27,6)),(VLOOKUP(A113,'VLookup table'!A18:G27,7)))</f>
        <v>0.15</v>
      </c>
      <c r="D112" s="192"/>
      <c r="E112" s="193"/>
      <c r="F112" s="210" t="str">
        <f>IF(ISNUMBER(D112),+C$112*D112, "-")</f>
        <v>-</v>
      </c>
      <c r="G112" s="26"/>
      <c r="H112" s="26"/>
    </row>
    <row r="113" spans="1:8" ht="22.5" customHeight="1" x14ac:dyDescent="0.2">
      <c r="A113" s="195" t="str">
        <f>IF(FP="FP-03","40102","31002")</f>
        <v>31002</v>
      </c>
      <c r="B113" s="196" t="str">
        <f>IF(FP="FP-03","Superpave pavement wedge and levelling course","CIP recycled ashalt base")</f>
        <v>CIP recycled ashalt base</v>
      </c>
      <c r="C113" s="311"/>
      <c r="D113" s="197"/>
      <c r="E113" s="198"/>
      <c r="F113" s="210" t="str">
        <f>IF(ISNUMBER(D113),+C$112*D113, "-")</f>
        <v>-</v>
      </c>
      <c r="G113" s="26"/>
      <c r="H113" s="26"/>
    </row>
    <row r="114" spans="1:8" x14ac:dyDescent="0.2">
      <c r="A114" s="63" t="str">
        <f>IF(FP="FP-03","Section 402 - HACP by Hveem or Marshall","Section 311 - Stabilized Aggregate Base Course")</f>
        <v>Section 311 - Stabilized Aggregate Base Course</v>
      </c>
      <c r="B114" s="58"/>
      <c r="C114" s="59" t="s">
        <v>89</v>
      </c>
      <c r="D114" s="82" t="str">
        <f>IF(Units="US CUSTOMARY", (VLOOKUP(A116,'VLookup table'!A21:G29,4)),(VLOOKUP(A116,'VLookup table'!A21:G29,5)))</f>
        <v>Tons</v>
      </c>
      <c r="E114" s="65"/>
      <c r="F114" s="67" t="s">
        <v>32</v>
      </c>
      <c r="G114" s="26"/>
      <c r="H114" s="26"/>
    </row>
    <row r="115" spans="1:8" ht="12.75" customHeight="1" x14ac:dyDescent="0.2">
      <c r="A115" s="189" t="str">
        <f>IF(FP="FP-03","40201","31101")</f>
        <v>31101</v>
      </c>
      <c r="B115" s="190" t="str">
        <f>IF(FP="FP-03","HACP Hveem or Marshall test","Stabilized aggregate surface course*")</f>
        <v>Stabilized aggregate surface course*</v>
      </c>
      <c r="C115" s="304">
        <f>IF(Units="US CUSTOMARY",(VLOOKUP(A116,'VLookup table'!A21:G29,6)),(VLOOKUP(A116,'VLookup table'!A21:G29,7)))</f>
        <v>0.7</v>
      </c>
      <c r="D115" s="192"/>
      <c r="E115" s="193"/>
      <c r="F115" s="210" t="str">
        <f>IF(ISNUMBER(D115),+C$115*D115, "-")</f>
        <v>-</v>
      </c>
      <c r="G115" s="84"/>
      <c r="H115" s="26"/>
    </row>
    <row r="116" spans="1:8" ht="23.25" customHeight="1" x14ac:dyDescent="0.2">
      <c r="A116" s="195" t="str">
        <f>IF(FP="FP-03","40202","31102")</f>
        <v>31102</v>
      </c>
      <c r="B116" s="196" t="str">
        <f>IF(FP="FP-03","HACP Hveem or Marshall test, wedge and levelling course","Stabilized aggregate surface course*")</f>
        <v>Stabilized aggregate surface course*</v>
      </c>
      <c r="C116" s="304"/>
      <c r="D116" s="197"/>
      <c r="E116" s="198"/>
      <c r="F116" s="210" t="str">
        <f t="shared" ref="F116:F117" si="6">IF(ISNUMBER(D116),+C$115*D116, "-")</f>
        <v>-</v>
      </c>
      <c r="G116" s="26"/>
      <c r="H116" s="26"/>
    </row>
    <row r="117" spans="1:8" x14ac:dyDescent="0.2">
      <c r="A117" s="189" t="str">
        <f>IF(FP="FP-03"," ","31103")</f>
        <v>31103</v>
      </c>
      <c r="B117" s="190" t="str">
        <f>IF(FP="FP-03"," ","Stabilized aggregate surface course")</f>
        <v>Stabilized aggregate surface course</v>
      </c>
      <c r="C117" s="305"/>
      <c r="D117" s="192"/>
      <c r="E117" s="193"/>
      <c r="F117" s="210" t="str">
        <f t="shared" si="6"/>
        <v>-</v>
      </c>
      <c r="G117" s="26"/>
      <c r="H117" s="26"/>
    </row>
    <row r="118" spans="1:8" x14ac:dyDescent="0.2">
      <c r="A118" s="68" t="str">
        <f>IF(FP="FP-03","Section 403 - Hot Asphalt Concrete Pavement","Section 401 - ACP by Gyratory Mix Design Method")</f>
        <v>Section 401 - ACP by Gyratory Mix Design Method</v>
      </c>
      <c r="B118" s="69"/>
      <c r="C118" s="79" t="s">
        <v>89</v>
      </c>
      <c r="D118" s="82" t="str">
        <f>IF(Units="US CUSTOMARY", (VLOOKUP(A120,'VLookup table'!A30:G35,4)),(VLOOKUP(A120,'VLookup table'!A30:G35,5)))</f>
        <v>Tons</v>
      </c>
      <c r="E118" s="72"/>
      <c r="F118" s="78" t="s">
        <v>32</v>
      </c>
      <c r="G118" s="26"/>
      <c r="H118" s="26"/>
    </row>
    <row r="119" spans="1:8" x14ac:dyDescent="0.2">
      <c r="A119" s="199" t="str">
        <f>IF(FP="FP-03","40301","40101")</f>
        <v>40101</v>
      </c>
      <c r="B119" s="191" t="str">
        <f>IF(FP="FP-03","Hot asphalt concrete pavement","Asphalt concrete pavement, gyratory mix")</f>
        <v>Asphalt concrete pavement, gyratory mix</v>
      </c>
      <c r="C119" s="304">
        <f>IF(Units="US CUSTOMARY",(VLOOKUP(A120,'VLookup table'!A30:G35,6)),(VLOOKUP(A120,'VLookup table'!A30:G35,7)))</f>
        <v>2.4</v>
      </c>
      <c r="D119" s="200"/>
      <c r="E119" s="201"/>
      <c r="F119" s="240" t="str">
        <f>IF(ISNUMBER(D119),+C$119*D119, "-")</f>
        <v>-</v>
      </c>
      <c r="G119" s="84"/>
      <c r="H119" s="26"/>
    </row>
    <row r="120" spans="1:8" ht="22.5" x14ac:dyDescent="0.2">
      <c r="A120" s="202" t="str">
        <f>IF(FP="FP-03","40302","40102")</f>
        <v>40102</v>
      </c>
      <c r="B120" s="203" t="str">
        <f>IF(FP="FP-03","Hot asphalt concrete pavement, wedge and levelling course","Asphalt concrete pavement, gyratory mix, wedged and leveling")</f>
        <v>Asphalt concrete pavement, gyratory mix, wedged and leveling</v>
      </c>
      <c r="C120" s="304"/>
      <c r="D120" s="204"/>
      <c r="E120" s="205"/>
      <c r="F120" s="240" t="str">
        <f>IF(ISNUMBER(D120),+C$119*D120, "-")</f>
        <v>-</v>
      </c>
      <c r="G120" s="26"/>
      <c r="H120" s="26"/>
    </row>
    <row r="121" spans="1:8" ht="28.5" customHeight="1" x14ac:dyDescent="0.25">
      <c r="A121" s="306" t="str">
        <f>IF(FP="FP-03","Section 405 - Open-Graded Asphalt Friction Course","Section 402 - ACP by Hveem or Marshall Mix Design Method")</f>
        <v>Section 402 - ACP by Hveem or Marshall Mix Design Method</v>
      </c>
      <c r="B121" s="307"/>
      <c r="C121" s="162" t="s">
        <v>89</v>
      </c>
      <c r="D121" s="163" t="str">
        <f>IF(Units="US CUSTOMARY", (VLOOKUP(A121,'VLookup table'!A37:G40,4)),(VLOOKUP(A121,'VLookup table'!A37:G40,5)))</f>
        <v>Tons</v>
      </c>
      <c r="E121" s="164"/>
      <c r="F121" s="165" t="s">
        <v>32</v>
      </c>
      <c r="G121" s="26"/>
      <c r="H121" s="26"/>
    </row>
    <row r="122" spans="1:8" ht="12.75" customHeight="1" x14ac:dyDescent="0.2">
      <c r="A122" s="199" t="str">
        <f>IF(FP="FP-03","40501","40201")</f>
        <v>40201</v>
      </c>
      <c r="B122" s="191" t="str">
        <f>IF(FP="FP-03","Open-graded asphalt friction course","ACP Hveem or Marshall Mix Design Method")</f>
        <v>ACP Hveem or Marshall Mix Design Method</v>
      </c>
      <c r="C122" s="304">
        <f>IF(Units="US CUSTOMARY",(VLOOKUP(A121,'VLookup table'!A35:G39,6)),(VLOOKUP(A121,'VLookup table'!A35:G39,7)))</f>
        <v>2.4</v>
      </c>
      <c r="D122" s="200"/>
      <c r="E122" s="201"/>
      <c r="F122" s="240" t="str">
        <f>IF(ISNUMBER(D122),+C$122*D122, "-")</f>
        <v>-</v>
      </c>
      <c r="G122" s="84"/>
      <c r="H122" s="26"/>
    </row>
    <row r="123" spans="1:8" ht="23.25" customHeight="1" x14ac:dyDescent="0.2">
      <c r="A123" s="202" t="str">
        <f>IF(FP="FP-03","","40202")</f>
        <v>40202</v>
      </c>
      <c r="B123" s="203" t="str">
        <f>IF(FP="FP-03","","ACP Hveen or Marshall Mix, wedge and leveling")</f>
        <v>ACP Hveen or Marshall Mix, wedge and leveling</v>
      </c>
      <c r="C123" s="304"/>
      <c r="D123" s="204"/>
      <c r="E123" s="205"/>
      <c r="F123" s="240" t="str">
        <f>IF(ISNUMBER(D123),+C$122*D123, "-")</f>
        <v>-</v>
      </c>
      <c r="G123" s="26"/>
      <c r="H123" s="26"/>
    </row>
    <row r="124" spans="1:8" x14ac:dyDescent="0.2">
      <c r="A124" s="68" t="str">
        <f>IF(FP="FP-03","Section 408 - Cold Recycled Asphalt base Course","Section 403 - Asphalt Concrete")</f>
        <v>Section 403 - Asphalt Concrete</v>
      </c>
      <c r="B124" s="69"/>
      <c r="C124" s="79" t="s">
        <v>89</v>
      </c>
      <c r="D124" s="82" t="str">
        <f>IF(Units="US CUSTOMARY", (VLOOKUP(A124,'VLookup table'!A38:G46,4)),(VLOOKUP(A124,'VLookup table'!A38:G46,5)))</f>
        <v>Tons</v>
      </c>
      <c r="E124" s="72"/>
      <c r="F124" s="78" t="s">
        <v>32</v>
      </c>
      <c r="G124" s="49"/>
      <c r="H124" s="49"/>
    </row>
    <row r="125" spans="1:8" x14ac:dyDescent="0.2">
      <c r="A125" s="199" t="str">
        <f>IF(FP="FP-03","40801","40301")</f>
        <v>40301</v>
      </c>
      <c r="B125" s="191" t="str">
        <f>IF(FP="FP-03","Cold recylced aphalt base","Asphalt concrete pavement")</f>
        <v>Asphalt concrete pavement</v>
      </c>
      <c r="C125" s="304">
        <f>IF(Units="US CUSTOMARY",(VLOOKUP(A124,'VLookup table'!A38:G46,6)),(VLOOKUP(A124,'VLookup table'!A38:G46,7)))</f>
        <v>2.4</v>
      </c>
      <c r="D125" s="200"/>
      <c r="E125" s="201"/>
      <c r="F125" s="240" t="str">
        <f>IF(ISNUMBER(D125),+C$125*D125, "-")</f>
        <v>-</v>
      </c>
      <c r="G125" s="154"/>
      <c r="H125" s="18"/>
    </row>
    <row r="126" spans="1:8" x14ac:dyDescent="0.2">
      <c r="A126" s="199" t="str">
        <f>IF(FP="FP-03","40802","40302")</f>
        <v>40302</v>
      </c>
      <c r="B126" s="191" t="str">
        <f>IF(FP="FP-03","Cold recylced aphalt base*","Asphalt concrete pavement*")</f>
        <v>Asphalt concrete pavement*</v>
      </c>
      <c r="C126" s="304"/>
      <c r="D126" s="200"/>
      <c r="E126" s="201"/>
      <c r="F126" s="240" t="str">
        <f t="shared" ref="F126:F127" si="7">IF(ISNUMBER(D126),+C$125*D126, "-")</f>
        <v>-</v>
      </c>
      <c r="G126" s="45"/>
      <c r="H126" s="45"/>
    </row>
    <row r="127" spans="1:8" ht="22.5" x14ac:dyDescent="0.2">
      <c r="A127" s="202" t="str">
        <f>IF(FP="FP-03","","40303")</f>
        <v>40303</v>
      </c>
      <c r="B127" s="203" t="str">
        <f>IF(FP="FP-03","","Asphalt concrete pavement, wedge and levelling")</f>
        <v>Asphalt concrete pavement, wedge and levelling</v>
      </c>
      <c r="C127" s="305"/>
      <c r="D127" s="204"/>
      <c r="E127" s="205"/>
      <c r="F127" s="240" t="str">
        <f t="shared" si="7"/>
        <v>-</v>
      </c>
      <c r="G127" s="45"/>
      <c r="H127" s="45"/>
    </row>
    <row r="128" spans="1:8" ht="15" x14ac:dyDescent="0.25">
      <c r="A128" s="296" t="s">
        <v>184</v>
      </c>
      <c r="B128" s="206"/>
      <c r="C128" s="241"/>
      <c r="D128" s="250"/>
      <c r="E128" s="207"/>
      <c r="F128" s="242"/>
      <c r="G128" s="45"/>
      <c r="H128" s="45"/>
    </row>
    <row r="129" spans="1:8" ht="15" x14ac:dyDescent="0.25">
      <c r="A129" s="166"/>
      <c r="B129" s="161"/>
      <c r="C129" s="243"/>
      <c r="D129" s="251"/>
      <c r="E129" s="208"/>
      <c r="F129" s="244"/>
      <c r="G129" s="45"/>
      <c r="H129" s="45"/>
    </row>
    <row r="130" spans="1:8" ht="15" x14ac:dyDescent="0.25">
      <c r="A130" s="166"/>
      <c r="B130" s="161"/>
      <c r="C130" s="243"/>
      <c r="D130" s="251"/>
      <c r="E130" s="208"/>
      <c r="F130" s="244"/>
      <c r="G130" s="45"/>
      <c r="H130" s="45"/>
    </row>
    <row r="131" spans="1:8" ht="18" x14ac:dyDescent="0.25">
      <c r="A131" s="298" t="s">
        <v>28</v>
      </c>
      <c r="B131" s="298"/>
      <c r="C131" s="298"/>
      <c r="D131" s="298"/>
      <c r="E131" s="298"/>
      <c r="F131" s="298"/>
      <c r="G131" s="298"/>
      <c r="H131" s="298"/>
    </row>
    <row r="132" spans="1:8" x14ac:dyDescent="0.2">
      <c r="A132" s="7"/>
      <c r="B132" s="7"/>
      <c r="C132" s="11" t="s">
        <v>24</v>
      </c>
      <c r="D132" s="12" t="str">
        <f>IF(FP="FP-03","FP-03","FP-14")</f>
        <v>FP-14</v>
      </c>
      <c r="E132" s="8"/>
      <c r="F132" s="9"/>
      <c r="G132" s="9"/>
      <c r="H132" s="9"/>
    </row>
    <row r="133" spans="1:8" x14ac:dyDescent="0.2">
      <c r="A133" s="7"/>
      <c r="B133" s="7"/>
      <c r="C133" s="7"/>
      <c r="D133" s="10"/>
      <c r="E133" s="8"/>
      <c r="F133" s="9"/>
      <c r="G133" s="9"/>
      <c r="H133" s="9"/>
    </row>
    <row r="134" spans="1:8" x14ac:dyDescent="0.2">
      <c r="A134" s="11" t="s">
        <v>3</v>
      </c>
      <c r="B134" s="294" t="str">
        <f>+B4</f>
        <v>Enter Project Number</v>
      </c>
      <c r="C134" s="294"/>
      <c r="D134" s="12"/>
      <c r="E134" s="12"/>
      <c r="F134" s="13"/>
      <c r="G134" s="14" t="s">
        <v>5</v>
      </c>
      <c r="H134" s="15">
        <f ca="1" xml:space="preserve"> TODAY()</f>
        <v>43503</v>
      </c>
    </row>
    <row r="135" spans="1:8" ht="5.25" customHeight="1" x14ac:dyDescent="0.2">
      <c r="A135" s="11"/>
      <c r="B135" s="294"/>
      <c r="C135" s="294"/>
      <c r="D135" s="12"/>
      <c r="E135" s="12"/>
      <c r="F135" s="13"/>
      <c r="G135" s="14"/>
      <c r="H135" s="15"/>
    </row>
    <row r="136" spans="1:8" x14ac:dyDescent="0.2">
      <c r="A136" s="11" t="s">
        <v>4</v>
      </c>
      <c r="B136" s="303" t="str">
        <f>+B6</f>
        <v>Enter Project name</v>
      </c>
      <c r="C136" s="303"/>
      <c r="D136" s="303"/>
      <c r="E136" s="303"/>
      <c r="F136" s="303"/>
      <c r="G136" s="14" t="str">
        <f>+G6</f>
        <v xml:space="preserve">Option: </v>
      </c>
      <c r="H136" s="17" t="str">
        <f>+H6</f>
        <v>X</v>
      </c>
    </row>
    <row r="137" spans="1:8" x14ac:dyDescent="0.2">
      <c r="A137" s="7"/>
      <c r="B137" s="7"/>
      <c r="C137" s="7"/>
      <c r="D137" s="8"/>
      <c r="E137" s="8"/>
      <c r="F137" s="9"/>
      <c r="G137" s="14" t="s">
        <v>8</v>
      </c>
      <c r="H137" s="13" t="str">
        <f>+Units</f>
        <v>US CUSTOMARY</v>
      </c>
    </row>
    <row r="138" spans="1:8" ht="6.75" customHeight="1" thickBot="1" x14ac:dyDescent="0.25">
      <c r="A138" s="7"/>
      <c r="B138" s="7"/>
      <c r="C138" s="7"/>
      <c r="D138" s="8"/>
      <c r="E138" s="8"/>
      <c r="F138" s="9"/>
      <c r="G138" s="14"/>
      <c r="H138" s="13"/>
    </row>
    <row r="139" spans="1:8" ht="19.5" customHeight="1" thickBot="1" x14ac:dyDescent="0.25">
      <c r="A139" s="231" t="s">
        <v>151</v>
      </c>
      <c r="B139" s="232"/>
      <c r="C139" s="232"/>
      <c r="D139" s="232"/>
      <c r="E139" s="232"/>
      <c r="F139" s="232"/>
      <c r="G139" s="232"/>
      <c r="H139" s="233"/>
    </row>
    <row r="140" spans="1:8" ht="5.25" customHeight="1" x14ac:dyDescent="0.2">
      <c r="A140" s="18"/>
      <c r="B140" s="44"/>
      <c r="C140" s="44"/>
      <c r="D140" s="45"/>
      <c r="E140" s="46"/>
      <c r="F140" s="45"/>
      <c r="G140" s="45"/>
      <c r="H140" s="45"/>
    </row>
    <row r="141" spans="1:8" ht="24" customHeight="1" x14ac:dyDescent="0.2">
      <c r="A141" s="312" t="str">
        <f>IF(FP="FP-03","Section 416 - Continuous Cold Recycled Asphalt Base Course","Section 405 - Open-Graded Asphalt Friction")</f>
        <v>Section 405 - Open-Graded Asphalt Friction</v>
      </c>
      <c r="B141" s="313"/>
      <c r="C141" s="79" t="s">
        <v>89</v>
      </c>
      <c r="D141" s="82" t="str">
        <f>IF(Units="US CUSTOMARY", (VLOOKUP(A141,'VLookup table'!A42:G50,4)),(VLOOKUP(A141,'VLookup table'!A42:G50,5)))</f>
        <v>Tons</v>
      </c>
      <c r="E141" s="72"/>
      <c r="F141" s="78" t="s">
        <v>32</v>
      </c>
      <c r="G141" s="45"/>
      <c r="H141" s="45"/>
    </row>
    <row r="142" spans="1:8" ht="15" x14ac:dyDescent="0.2">
      <c r="A142" s="70" t="str">
        <f>IF(FP="FP-03","41601","40501")</f>
        <v>40501</v>
      </c>
      <c r="B142" s="71" t="str">
        <f>IF(FP="FP-03","Continuous cold recylced aphalt base","Open-graded asphalt friction course")</f>
        <v>Open-graded asphalt friction course</v>
      </c>
      <c r="C142" s="245">
        <f>IF(Units="US CUSTOMARY",(VLOOKUP(A141,'VLookup table'!A42:G50,6)),(VLOOKUP(A141,'VLookup table'!A42:G50,7)))</f>
        <v>2.4</v>
      </c>
      <c r="D142" s="75"/>
      <c r="E142" s="73"/>
      <c r="F142" s="246" t="str">
        <f>IF(ISNUMBER(D142),+C$142*D142, "-")</f>
        <v>-</v>
      </c>
      <c r="G142" s="152"/>
      <c r="H142" s="45"/>
    </row>
    <row r="143" spans="1:8" ht="26.25" customHeight="1" x14ac:dyDescent="0.2">
      <c r="A143" s="312" t="str">
        <f>IF(FP="FP-03","Section 418 - Foamed Asphalt Stabilized Base - not in FP (in SCRs)","Not applicable")</f>
        <v>Not applicable</v>
      </c>
      <c r="B143" s="314"/>
      <c r="C143" s="162" t="s">
        <v>89</v>
      </c>
      <c r="D143" s="163" t="e">
        <f>IF(Units="US CUSTOMARY", (VLOOKUP(A143,'VLookup table'!A49:G54,4)),(VLOOKUP(A143,'VLookup table'!A49:G54,5)))</f>
        <v>#N/A</v>
      </c>
      <c r="E143" s="164"/>
      <c r="F143" s="165" t="s">
        <v>32</v>
      </c>
      <c r="G143" s="152"/>
      <c r="H143" s="45"/>
    </row>
    <row r="144" spans="1:8" ht="15" x14ac:dyDescent="0.2">
      <c r="A144" s="70" t="str">
        <f>IF(FP="FP-03","41801","")</f>
        <v/>
      </c>
      <c r="B144" s="71" t="str">
        <f>IF(FP="FP-03","Foamed asphalt stabilized base course","")</f>
        <v/>
      </c>
      <c r="C144" s="245" t="e">
        <f>IF(Units="US CUSTOMARY",(VLOOKUP(A143,'VLookup table'!A49:G53,6)),(VLOOKUP(A143,'VLookup table'!A49:G53,7)))</f>
        <v>#N/A</v>
      </c>
      <c r="D144" s="75"/>
      <c r="E144" s="73"/>
      <c r="F144" s="246" t="str">
        <f>IF(ISNUMBER(D144),+C$144*D144, "-")</f>
        <v>-</v>
      </c>
      <c r="G144" s="152"/>
      <c r="H144" s="49"/>
    </row>
    <row r="145" spans="1:8" x14ac:dyDescent="0.2">
      <c r="A145" s="68" t="str">
        <f>IF(FP="FP-03","Section 501 - Rigid pavement","Not applicable")</f>
        <v>Not applicable</v>
      </c>
      <c r="B145" s="69"/>
      <c r="C145" s="79" t="s">
        <v>89</v>
      </c>
      <c r="D145" s="82" t="e">
        <f>IF(Units="US CUSTOMARY", (VLOOKUP(A146,'VLookup table'!A54:G56,4)),(VLOOKUP(A146,'VLookup table'!A54:G56,5)))</f>
        <v>#N/A</v>
      </c>
      <c r="E145" s="72"/>
      <c r="F145" s="78" t="s">
        <v>32</v>
      </c>
      <c r="G145" s="50"/>
      <c r="H145" s="51"/>
    </row>
    <row r="146" spans="1:8" x14ac:dyDescent="0.2">
      <c r="A146" s="199" t="str">
        <f>IF(FP="FP-03","50101","")</f>
        <v/>
      </c>
      <c r="B146" s="191" t="str">
        <f>IF(FP="FP-03","Reinforced rigid pavement","")</f>
        <v/>
      </c>
      <c r="C146" s="304" t="e">
        <f>IF(Units="US CUSTOMARY",(VLOOKUP(A146,'VLookup table'!A54:G56,6)),(VLOOKUP(A146,'VLookup table'!A54:G56,7)))</f>
        <v>#N/A</v>
      </c>
      <c r="D146" s="200"/>
      <c r="E146" s="201"/>
      <c r="F146" s="240" t="str">
        <f>IF(ISNUMBER(D146),+C$146*D146, "-")</f>
        <v>-</v>
      </c>
      <c r="G146" s="50"/>
      <c r="H146" s="51"/>
    </row>
    <row r="147" spans="1:8" x14ac:dyDescent="0.2">
      <c r="A147" s="199" t="str">
        <f>IF(FP="FP-03","50102","")</f>
        <v/>
      </c>
      <c r="B147" s="191" t="str">
        <f>IF(FP="FP-03","Plain rigid pavement","")</f>
        <v/>
      </c>
      <c r="C147" s="305"/>
      <c r="D147" s="200"/>
      <c r="E147" s="201"/>
      <c r="F147" s="240" t="str">
        <f>IF(ISNUMBER(D147),+C$146*D147, "-")</f>
        <v>-</v>
      </c>
      <c r="G147" s="50"/>
      <c r="H147" s="51"/>
    </row>
    <row r="148" spans="1:8" x14ac:dyDescent="0.2">
      <c r="A148" s="47"/>
      <c r="B148" s="47"/>
      <c r="C148" s="47"/>
      <c r="D148" s="48"/>
      <c r="E148" s="48"/>
      <c r="F148" s="49"/>
      <c r="G148" s="49"/>
      <c r="H148" s="49"/>
    </row>
    <row r="149" spans="1:8" x14ac:dyDescent="0.2">
      <c r="A149" s="47"/>
      <c r="B149" s="47"/>
      <c r="C149" s="47"/>
      <c r="D149" s="48"/>
      <c r="E149" s="48"/>
      <c r="F149" s="49"/>
      <c r="G149" s="49"/>
      <c r="H149" s="49"/>
    </row>
    <row r="150" spans="1:8" x14ac:dyDescent="0.2">
      <c r="A150" s="209"/>
      <c r="B150" s="216"/>
      <c r="C150" s="217"/>
      <c r="D150" s="218" t="s">
        <v>144</v>
      </c>
      <c r="E150" s="217"/>
      <c r="F150" s="219">
        <f>SUM(F78:F127)+SUM(F141:F147)</f>
        <v>0</v>
      </c>
      <c r="G150" s="18"/>
      <c r="H150" s="18"/>
    </row>
    <row r="151" spans="1:8" ht="4.5" customHeight="1" x14ac:dyDescent="0.2">
      <c r="A151" s="18"/>
      <c r="B151" s="220"/>
      <c r="C151" s="44"/>
      <c r="D151" s="46"/>
      <c r="E151" s="46"/>
      <c r="F151" s="221"/>
      <c r="G151" s="45"/>
      <c r="H151" s="45"/>
    </row>
    <row r="152" spans="1:8" x14ac:dyDescent="0.2">
      <c r="A152" s="18"/>
      <c r="B152" s="222"/>
      <c r="C152" s="47"/>
      <c r="D152" s="211" t="s">
        <v>140</v>
      </c>
      <c r="E152" s="52"/>
      <c r="F152" s="252"/>
      <c r="G152" s="45"/>
      <c r="H152" s="45"/>
    </row>
    <row r="153" spans="1:8" ht="7.5" customHeight="1" x14ac:dyDescent="0.2">
      <c r="A153" s="18"/>
      <c r="B153" s="223"/>
      <c r="C153" s="47"/>
      <c r="D153" s="215"/>
      <c r="E153" s="52"/>
      <c r="F153" s="221"/>
      <c r="G153" s="45"/>
      <c r="H153" s="45"/>
    </row>
    <row r="154" spans="1:8" x14ac:dyDescent="0.2">
      <c r="A154" s="18"/>
      <c r="B154" s="223"/>
      <c r="C154" s="47"/>
      <c r="D154" s="211" t="s">
        <v>141</v>
      </c>
      <c r="E154" s="52"/>
      <c r="F154" s="224" t="str">
        <f>IF(F152&lt;&gt;"",F152*1.6,"-")</f>
        <v>-</v>
      </c>
      <c r="G154" s="45"/>
      <c r="H154" s="45"/>
    </row>
    <row r="155" spans="1:8" ht="5.25" customHeight="1" x14ac:dyDescent="0.2">
      <c r="A155" s="18"/>
      <c r="B155" s="223"/>
      <c r="C155" s="47"/>
      <c r="D155" s="215"/>
      <c r="E155" s="52"/>
      <c r="F155" s="221"/>
      <c r="G155" s="45"/>
      <c r="H155" s="45"/>
    </row>
    <row r="156" spans="1:8" x14ac:dyDescent="0.2">
      <c r="A156" s="47"/>
      <c r="B156" s="223"/>
      <c r="C156" s="47"/>
      <c r="D156" s="212" t="s">
        <v>142</v>
      </c>
      <c r="E156" s="48"/>
      <c r="F156" s="225" t="str">
        <f>IF(F150&lt;&gt;0,(1.6-1.1)*(F150*F152),"-")</f>
        <v>-</v>
      </c>
      <c r="G156" s="49"/>
      <c r="H156" s="49"/>
    </row>
    <row r="157" spans="1:8" ht="7.5" customHeight="1" x14ac:dyDescent="0.2">
      <c r="A157" s="47"/>
      <c r="B157" s="223"/>
      <c r="C157" s="47"/>
      <c r="D157" s="48"/>
      <c r="E157" s="48"/>
      <c r="F157" s="221"/>
      <c r="G157" s="53"/>
      <c r="H157" s="54"/>
    </row>
    <row r="158" spans="1:8" x14ac:dyDescent="0.2">
      <c r="A158" s="47"/>
      <c r="B158" s="223"/>
      <c r="C158" s="47"/>
      <c r="D158" s="212" t="s">
        <v>143</v>
      </c>
      <c r="E158" s="48"/>
      <c r="F158" s="253"/>
      <c r="G158" s="53"/>
      <c r="H158" s="54"/>
    </row>
    <row r="159" spans="1:8" ht="6.75" customHeight="1" x14ac:dyDescent="0.2">
      <c r="A159" s="47"/>
      <c r="B159" s="223"/>
      <c r="C159" s="47"/>
      <c r="D159" s="48"/>
      <c r="E159" s="48"/>
      <c r="F159" s="221"/>
      <c r="G159" s="53"/>
      <c r="H159" s="54"/>
    </row>
    <row r="160" spans="1:8" ht="18.75" customHeight="1" x14ac:dyDescent="0.2">
      <c r="A160" s="47"/>
      <c r="B160" s="226"/>
      <c r="C160" s="227"/>
      <c r="D160" s="228" t="s">
        <v>145</v>
      </c>
      <c r="E160" s="229"/>
      <c r="F160" s="230" t="str">
        <f>IF(F158&lt;&gt;"",(F156*F158)/100,"$0.00")</f>
        <v>$0.00</v>
      </c>
      <c r="G160" s="53"/>
      <c r="H160" s="54"/>
    </row>
    <row r="161" spans="1:8" ht="18.75" customHeight="1" x14ac:dyDescent="0.2">
      <c r="A161" s="47"/>
      <c r="B161" s="47"/>
      <c r="C161" s="47"/>
      <c r="D161" s="213"/>
      <c r="E161" s="48"/>
      <c r="F161" s="214"/>
      <c r="G161" s="53"/>
      <c r="H161" s="54"/>
    </row>
    <row r="162" spans="1:8" ht="18.75" customHeight="1" x14ac:dyDescent="0.2">
      <c r="A162" s="47"/>
      <c r="B162" s="47"/>
      <c r="C162" s="47"/>
      <c r="D162" s="213"/>
      <c r="E162" s="48"/>
      <c r="F162" s="214"/>
      <c r="G162" s="53"/>
      <c r="H162" s="54"/>
    </row>
    <row r="163" spans="1:8" x14ac:dyDescent="0.2">
      <c r="A163" s="47"/>
      <c r="B163" s="47"/>
      <c r="C163" s="47"/>
      <c r="D163" s="48"/>
      <c r="E163" s="48"/>
      <c r="F163" s="49"/>
      <c r="G163" s="53"/>
      <c r="H163" s="54"/>
    </row>
    <row r="164" spans="1:8" ht="6.75" customHeight="1" thickBot="1" x14ac:dyDescent="0.25">
      <c r="A164" s="7"/>
      <c r="B164" s="7"/>
      <c r="C164" s="7"/>
      <c r="D164" s="8"/>
      <c r="E164" s="8"/>
      <c r="F164" s="9"/>
      <c r="G164" s="14"/>
      <c r="H164" s="13"/>
    </row>
    <row r="165" spans="1:8" ht="19.5" customHeight="1" thickBot="1" x14ac:dyDescent="0.25">
      <c r="A165" s="234" t="s">
        <v>146</v>
      </c>
      <c r="B165" s="235"/>
      <c r="C165" s="235"/>
      <c r="D165" s="235"/>
      <c r="E165" s="235"/>
      <c r="F165" s="235"/>
      <c r="G165" s="235"/>
      <c r="H165" s="236"/>
    </row>
    <row r="166" spans="1:8" ht="5.25" customHeight="1" x14ac:dyDescent="0.2">
      <c r="A166" s="18"/>
      <c r="B166" s="44"/>
      <c r="C166" s="44"/>
      <c r="D166" s="45"/>
      <c r="E166" s="46"/>
      <c r="F166" s="45"/>
      <c r="G166" s="45"/>
      <c r="H166" s="45"/>
    </row>
    <row r="167" spans="1:8" x14ac:dyDescent="0.2">
      <c r="A167" s="47"/>
      <c r="B167" s="216"/>
      <c r="C167" s="217"/>
      <c r="D167" s="218" t="s">
        <v>149</v>
      </c>
      <c r="E167" s="217"/>
      <c r="F167" s="254"/>
      <c r="G167" s="53"/>
      <c r="H167" s="54"/>
    </row>
    <row r="168" spans="1:8" x14ac:dyDescent="0.2">
      <c r="A168" s="47"/>
      <c r="B168" s="220"/>
      <c r="C168" s="44"/>
      <c r="D168" s="46"/>
      <c r="E168" s="46"/>
      <c r="F168" s="221"/>
      <c r="G168" s="53"/>
      <c r="H168" s="54"/>
    </row>
    <row r="169" spans="1:8" x14ac:dyDescent="0.2">
      <c r="A169" s="47"/>
      <c r="B169" s="222"/>
      <c r="C169" s="47"/>
      <c r="D169" s="211" t="s">
        <v>147</v>
      </c>
      <c r="E169" s="52"/>
      <c r="F169" s="252"/>
      <c r="G169" s="53"/>
      <c r="H169" s="54"/>
    </row>
    <row r="170" spans="1:8" x14ac:dyDescent="0.2">
      <c r="A170" s="47"/>
      <c r="B170" s="223"/>
      <c r="C170" s="47"/>
      <c r="D170" s="215"/>
      <c r="E170" s="52"/>
      <c r="F170" s="221"/>
      <c r="G170" s="53"/>
      <c r="H170" s="54"/>
    </row>
    <row r="171" spans="1:8" x14ac:dyDescent="0.2">
      <c r="A171" s="47"/>
      <c r="B171" s="223"/>
      <c r="C171" s="47"/>
      <c r="D171" s="211" t="s">
        <v>141</v>
      </c>
      <c r="E171" s="52"/>
      <c r="F171" s="224" t="str">
        <f>IF(F169&lt;&gt;"",F169*1.6,"-")</f>
        <v>-</v>
      </c>
      <c r="G171" s="53"/>
      <c r="H171" s="54"/>
    </row>
    <row r="172" spans="1:8" x14ac:dyDescent="0.2">
      <c r="A172" s="47"/>
      <c r="B172" s="223"/>
      <c r="C172" s="47"/>
      <c r="D172" s="215"/>
      <c r="E172" s="52"/>
      <c r="F172" s="221"/>
      <c r="G172" s="53"/>
      <c r="H172" s="54"/>
    </row>
    <row r="173" spans="1:8" x14ac:dyDescent="0.2">
      <c r="A173" s="47"/>
      <c r="B173" s="223"/>
      <c r="C173" s="47"/>
      <c r="D173" s="212" t="s">
        <v>148</v>
      </c>
      <c r="E173" s="48"/>
      <c r="F173" s="225" t="str">
        <f>IF(F167&lt;&gt;0,(1.6-1.1)*(F169)*(F167*0.06),"-")</f>
        <v>-</v>
      </c>
      <c r="G173" s="53"/>
      <c r="H173" s="54"/>
    </row>
    <row r="174" spans="1:8" x14ac:dyDescent="0.2">
      <c r="A174" s="47"/>
      <c r="B174" s="223"/>
      <c r="C174" s="47"/>
      <c r="D174" s="48"/>
      <c r="E174" s="48"/>
      <c r="F174" s="221"/>
      <c r="G174" s="53"/>
      <c r="H174" s="54"/>
    </row>
    <row r="175" spans="1:8" x14ac:dyDescent="0.2">
      <c r="A175" s="47"/>
      <c r="B175" s="223"/>
      <c r="C175" s="47"/>
      <c r="D175" s="212" t="s">
        <v>143</v>
      </c>
      <c r="E175" s="48"/>
      <c r="F175" s="253"/>
      <c r="G175" s="53"/>
      <c r="H175" s="54"/>
    </row>
    <row r="176" spans="1:8" x14ac:dyDescent="0.2">
      <c r="A176" s="47"/>
      <c r="B176" s="223"/>
      <c r="C176" s="47"/>
      <c r="D176" s="48"/>
      <c r="E176" s="48"/>
      <c r="F176" s="221"/>
      <c r="G176" s="53"/>
      <c r="H176" s="54"/>
    </row>
    <row r="177" spans="1:8" x14ac:dyDescent="0.2">
      <c r="A177" s="47"/>
      <c r="B177" s="226"/>
      <c r="C177" s="227"/>
      <c r="D177" s="228" t="s">
        <v>150</v>
      </c>
      <c r="E177" s="229"/>
      <c r="F177" s="230" t="str">
        <f>IF(F175&lt;&gt;"",(F173*F175)/100,"$0.00")</f>
        <v>$0.00</v>
      </c>
      <c r="G177" s="49"/>
      <c r="H177" s="49"/>
    </row>
    <row r="178" spans="1:8" x14ac:dyDescent="0.2">
      <c r="A178" s="47"/>
      <c r="B178" s="47"/>
      <c r="C178" s="47"/>
      <c r="D178" s="48"/>
      <c r="E178" s="48"/>
      <c r="F178" s="49"/>
      <c r="G178" s="49"/>
      <c r="H178" s="49"/>
    </row>
    <row r="179" spans="1:8" x14ac:dyDescent="0.2">
      <c r="A179" s="55"/>
      <c r="B179" s="56"/>
      <c r="C179" s="56"/>
      <c r="D179" s="48"/>
      <c r="E179" s="48"/>
      <c r="F179" s="49"/>
      <c r="G179" s="49"/>
      <c r="H179" s="49"/>
    </row>
    <row r="180" spans="1:8" x14ac:dyDescent="0.2">
      <c r="A180" s="56"/>
      <c r="B180" s="56"/>
      <c r="C180" s="56"/>
      <c r="D180" s="48"/>
      <c r="E180" s="48"/>
      <c r="F180" s="49"/>
      <c r="G180" s="49"/>
      <c r="H180" s="49"/>
    </row>
    <row r="181" spans="1:8" x14ac:dyDescent="0.2">
      <c r="A181" s="56"/>
      <c r="B181" s="56"/>
      <c r="C181" s="56"/>
      <c r="D181" s="48"/>
      <c r="E181" s="48"/>
      <c r="F181" s="49"/>
      <c r="G181" s="49"/>
      <c r="H181" s="49"/>
    </row>
    <row r="182" spans="1:8" x14ac:dyDescent="0.2">
      <c r="A182" s="55"/>
      <c r="B182" s="56"/>
      <c r="C182" s="56"/>
      <c r="D182" s="48"/>
      <c r="E182" s="48"/>
      <c r="F182" s="49"/>
      <c r="G182" s="49"/>
      <c r="H182" s="49"/>
    </row>
    <row r="183" spans="1:8" x14ac:dyDescent="0.2">
      <c r="A183" s="56"/>
      <c r="B183" s="56"/>
      <c r="C183" s="56"/>
      <c r="D183" s="48"/>
      <c r="E183" s="48"/>
      <c r="F183" s="49"/>
      <c r="G183" s="49"/>
      <c r="H183" s="49"/>
    </row>
    <row r="184" spans="1:8" x14ac:dyDescent="0.2">
      <c r="A184" s="56"/>
      <c r="B184" s="56"/>
      <c r="C184" s="56"/>
      <c r="D184" s="48"/>
      <c r="E184" s="48"/>
      <c r="F184" s="49"/>
      <c r="G184" s="49"/>
      <c r="H184" s="49"/>
    </row>
    <row r="185" spans="1:8" ht="22.5" customHeight="1" x14ac:dyDescent="0.2">
      <c r="A185" s="55"/>
      <c r="B185" s="56"/>
      <c r="C185" s="56"/>
      <c r="D185" s="48"/>
      <c r="E185" s="48"/>
      <c r="F185" s="49"/>
      <c r="G185" s="49"/>
      <c r="H185" s="49"/>
    </row>
  </sheetData>
  <sheetProtection sheet="1" objects="1" scenarios="1"/>
  <dataConsolidate/>
  <mergeCells count="25">
    <mergeCell ref="C146:C147"/>
    <mergeCell ref="C122:C123"/>
    <mergeCell ref="C125:C127"/>
    <mergeCell ref="A131:H131"/>
    <mergeCell ref="B136:F136"/>
    <mergeCell ref="A141:B141"/>
    <mergeCell ref="A143:B143"/>
    <mergeCell ref="A121:B121"/>
    <mergeCell ref="A51:G51"/>
    <mergeCell ref="A67:H67"/>
    <mergeCell ref="B72:F72"/>
    <mergeCell ref="C78:C87"/>
    <mergeCell ref="C89:C97"/>
    <mergeCell ref="C99:C100"/>
    <mergeCell ref="C102:C106"/>
    <mergeCell ref="C108:C110"/>
    <mergeCell ref="C112:C113"/>
    <mergeCell ref="C115:C117"/>
    <mergeCell ref="C119:C120"/>
    <mergeCell ref="A43:H43"/>
    <mergeCell ref="A1:H1"/>
    <mergeCell ref="B6:F6"/>
    <mergeCell ref="A10:H10"/>
    <mergeCell ref="A30:H30"/>
    <mergeCell ref="A38:G38"/>
  </mergeCells>
  <dataValidations disablePrompts="1" count="12">
    <dataValidation type="whole" operator="greaterThanOrEqual" allowBlank="1" showInputMessage="1" showErrorMessage="1" error="Bid decimals set to zero._x000a__x000a_Contact Heidi Hirsbrunner (X3622)_x000a__x000a_to modify Incentive Spreadsheet." sqref="D108:D110 D112:D113 D115:D117 D119:D120 D122:D123 D125:D127 D142 D144 D146:D147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99:D100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89:D97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78:D87 D102:D106">
      <formula1>0</formula1>
    </dataValidation>
    <dataValidation type="whole" operator="greaterThanOrEqual" allowBlank="1" showInputMessage="1" showErrorMessage="1" error="Bid decimals set to zero._x000a__x000a_Contact Heidi Hirsbrunner (X3622)_x000a_                _x000a_to modify Incentive Spreadsheet." sqref="D13 D15 D17 D19 D33 D35 D21 D23 D25 D27">
      <formula1>0</formula1>
    </dataValidation>
    <dataValidation allowBlank="1" showErrorMessage="1" sqref="B81"/>
    <dataValidation allowBlank="1" sqref="B70:C70 B134:C134"/>
    <dataValidation allowBlank="1" showInputMessage="1" showErrorMessage="1" promptTitle="Enter project name" prompt="Example:  Pinto Basin Road" sqref="B6:F6"/>
    <dataValidation allowBlank="1" showInputMessage="1" showErrorMessage="1" promptTitle="Enter project number" prompt="Example:  CA FTNP JOTR 11(5)" sqref="B4:C4"/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36 D128:D130">
      <formula1>0</formula1>
    </dataValidation>
    <dataValidation type="list" showInputMessage="1" showErrorMessage="1" error="Please use drop-down menu to select a schedule" promptTitle="Choose schedule" prompt="If you have multiple schedules, then copy addtional sheet tabs and calculate incevitves separately for each schedule._x000a__x000a_Sheets tabs can be copied by left clicking the acitve tab and choosing 'Move or Copy', then clicking the 'Create Copy' checkbox." sqref="H6">
      <formula1>"  , A, B, C, D, E, F, G, W, X, Y, Z"</formula1>
    </dataValidation>
    <dataValidation type="list" allowBlank="1" showInputMessage="1" showErrorMessage="1" sqref="G6">
      <formula1>", Schedule: , Option: "</formula1>
    </dataValidation>
  </dataValidations>
  <printOptions horizontalCentered="1"/>
  <pageMargins left="0.7" right="0.7" top="0.75" bottom="0.75" header="0.3" footer="0.3"/>
  <pageSetup scale="81" fitToHeight="2" orientation="portrait" r:id="rId1"/>
  <headerFooter>
    <oddFooter>&amp;RRev. 02-08-2019</oddFooter>
  </headerFooter>
  <rowBreaks count="1" manualBreakCount="1">
    <brk id="66" max="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185"/>
  <sheetViews>
    <sheetView zoomScaleNormal="100"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8" customWidth="1"/>
    <col min="5" max="5" width="1.7109375" style="38" customWidth="1"/>
    <col min="6" max="6" width="12.42578125" style="39" customWidth="1"/>
    <col min="7" max="7" width="14.42578125" style="39" customWidth="1"/>
    <col min="8" max="8" width="16.7109375" style="39" bestFit="1" customWidth="1"/>
    <col min="9" max="16384" width="9.140625" style="6"/>
  </cols>
  <sheetData>
    <row r="1" spans="1:8" ht="18" x14ac:dyDescent="0.25">
      <c r="A1" s="298" t="s">
        <v>26</v>
      </c>
      <c r="B1" s="298"/>
      <c r="C1" s="298"/>
      <c r="D1" s="298"/>
      <c r="E1" s="298"/>
      <c r="F1" s="298"/>
      <c r="G1" s="298"/>
      <c r="H1" s="298"/>
    </row>
    <row r="2" spans="1:8" ht="15" x14ac:dyDescent="0.2">
      <c r="A2" s="7"/>
      <c r="B2" s="7"/>
      <c r="C2" s="11" t="s">
        <v>24</v>
      </c>
      <c r="D2" s="256" t="str">
        <f>+Sheet1!D2</f>
        <v>FP-14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294" t="str">
        <f>+Sheet1!B4</f>
        <v>Enter Project Number</v>
      </c>
      <c r="C4" s="294"/>
      <c r="D4" s="12"/>
      <c r="E4" s="12"/>
      <c r="F4" s="13"/>
      <c r="G4" s="14" t="s">
        <v>5</v>
      </c>
      <c r="H4" s="15">
        <f ca="1" xml:space="preserve"> TODAY()</f>
        <v>43503</v>
      </c>
    </row>
    <row r="5" spans="1:8" ht="6" customHeight="1" x14ac:dyDescent="0.2">
      <c r="A5" s="11"/>
      <c r="B5" s="294"/>
      <c r="C5" s="294"/>
      <c r="D5" s="12"/>
      <c r="E5" s="12"/>
      <c r="F5" s="13"/>
      <c r="G5" s="14"/>
      <c r="H5" s="15"/>
    </row>
    <row r="6" spans="1:8" ht="15" x14ac:dyDescent="0.2">
      <c r="A6" s="11" t="s">
        <v>4</v>
      </c>
      <c r="B6" s="303" t="str">
        <f>+Sheet1!B6</f>
        <v>Enter Project name</v>
      </c>
      <c r="C6" s="303">
        <f>+Sheet1!C6</f>
        <v>0</v>
      </c>
      <c r="D6" s="303">
        <f>+Sheet1!D6</f>
        <v>0</v>
      </c>
      <c r="E6" s="303">
        <f>+Sheet1!E6</f>
        <v>0</v>
      </c>
      <c r="F6" s="303">
        <f>+Sheet1!F6</f>
        <v>0</v>
      </c>
      <c r="G6" s="258" t="s">
        <v>178</v>
      </c>
      <c r="H6" s="1" t="s">
        <v>180</v>
      </c>
    </row>
    <row r="7" spans="1:8" ht="6" customHeight="1" x14ac:dyDescent="0.2">
      <c r="A7" s="11"/>
      <c r="B7" s="294"/>
      <c r="C7" s="294"/>
      <c r="D7" s="294"/>
      <c r="E7" s="294"/>
      <c r="F7" s="294"/>
      <c r="G7" s="14"/>
      <c r="H7" s="17"/>
    </row>
    <row r="8" spans="1:8" ht="15" x14ac:dyDescent="0.2">
      <c r="A8" s="7"/>
      <c r="B8" s="7"/>
      <c r="C8" s="7"/>
      <c r="D8" s="8"/>
      <c r="E8" s="8"/>
      <c r="F8" s="9"/>
      <c r="G8" s="14" t="s">
        <v>8</v>
      </c>
      <c r="H8" s="256" t="str">
        <f>+Sheet1!H8</f>
        <v>US CUSTOMARY</v>
      </c>
    </row>
    <row r="9" spans="1:8" ht="13.5" thickBot="1" x14ac:dyDescent="0.25">
      <c r="A9" s="7"/>
      <c r="B9" s="7"/>
      <c r="C9" s="7"/>
      <c r="D9" s="8"/>
      <c r="E9" s="8"/>
      <c r="F9" s="9"/>
      <c r="G9" s="14"/>
      <c r="H9" s="13"/>
    </row>
    <row r="10" spans="1:8" ht="18.75" thickBot="1" x14ac:dyDescent="0.25">
      <c r="A10" s="300" t="s">
        <v>15</v>
      </c>
      <c r="B10" s="300"/>
      <c r="C10" s="300"/>
      <c r="D10" s="300"/>
      <c r="E10" s="300"/>
      <c r="F10" s="300"/>
      <c r="G10" s="300"/>
      <c r="H10" s="300"/>
    </row>
    <row r="11" spans="1:8" x14ac:dyDescent="0.2">
      <c r="A11" s="18" t="s">
        <v>13</v>
      </c>
      <c r="B11" s="18"/>
      <c r="C11" s="18"/>
      <c r="D11" s="18" t="s">
        <v>11</v>
      </c>
      <c r="E11" s="18"/>
      <c r="F11" s="18"/>
      <c r="G11" s="18"/>
      <c r="H11" s="18"/>
    </row>
    <row r="12" spans="1:8" ht="13.5" thickBot="1" x14ac:dyDescent="0.25">
      <c r="A12" s="19" t="s">
        <v>14</v>
      </c>
      <c r="B12" s="20" t="s">
        <v>7</v>
      </c>
      <c r="C12" s="20"/>
      <c r="D12" s="21" t="str">
        <f>IF(Units="US CUSTOMARY"," (Ton or SY)"," (tonnes or m2)")</f>
        <v xml:space="preserve"> (Ton or SY)</v>
      </c>
      <c r="E12" s="22"/>
      <c r="F12" s="21" t="s">
        <v>0</v>
      </c>
      <c r="G12" s="21" t="str">
        <f>"Q_"&amp;IF(Units="US CUSTOMARY","Ton","t")&amp;" Unit Price"</f>
        <v>Q_Ton Unit Price</v>
      </c>
      <c r="H12" s="21" t="s">
        <v>1</v>
      </c>
    </row>
    <row r="13" spans="1:8" ht="13.5" thickTop="1" x14ac:dyDescent="0.2">
      <c r="A13" s="23" t="str">
        <f>IF(FP="FP-03","301","301")</f>
        <v>301</v>
      </c>
      <c r="B13" s="24" t="str">
        <f>IF(FP="FP-03","Untreated Aggregate Courses","Untreated Aggregate Courses")</f>
        <v>Untreated Aggregate Courses</v>
      </c>
      <c r="C13" s="24"/>
      <c r="D13" s="3"/>
      <c r="E13" s="247"/>
      <c r="F13" s="4"/>
      <c r="G13" s="26" t="str">
        <f>IF(ISNUMBER(F13),ROUND(F13*0.05,2),"-")</f>
        <v>-</v>
      </c>
      <c r="H13" s="26" t="str">
        <f>IF(AND(ISNUMBER(D13),ISNUMBER(F13)),D13*G13,"-")</f>
        <v>-</v>
      </c>
    </row>
    <row r="14" spans="1:8" ht="6" customHeight="1" x14ac:dyDescent="0.2">
      <c r="A14" s="23"/>
      <c r="B14" s="24"/>
      <c r="C14" s="24"/>
      <c r="D14" s="247"/>
      <c r="E14" s="247"/>
      <c r="F14" s="248"/>
      <c r="G14" s="26"/>
      <c r="H14" s="26"/>
    </row>
    <row r="15" spans="1:8" x14ac:dyDescent="0.2">
      <c r="A15" s="23" t="str">
        <f>IF(FP="FP-03","302","309")</f>
        <v>309</v>
      </c>
      <c r="B15" s="24" t="str">
        <f>IF(FP="FP-03","Treated Aggregate Courses","Emulsified Asphalt-Treated Base Course")</f>
        <v>Emulsified Asphalt-Treated Base Course</v>
      </c>
      <c r="C15" s="24"/>
      <c r="D15" s="3"/>
      <c r="E15" s="247"/>
      <c r="F15" s="4"/>
      <c r="G15" s="26" t="str">
        <f>IF(ISNUMBER(F15),ROUND(F15*0.05,2),"-")</f>
        <v>-</v>
      </c>
      <c r="H15" s="26" t="str">
        <f>IF(AND(ISNUMBER(D15),ISNUMBER(F15)),D15*G15,"-")</f>
        <v>-</v>
      </c>
    </row>
    <row r="16" spans="1:8" ht="6" customHeight="1" x14ac:dyDescent="0.2">
      <c r="A16" s="23"/>
      <c r="B16" s="24"/>
      <c r="C16" s="24"/>
      <c r="D16" s="247"/>
      <c r="E16" s="247"/>
      <c r="F16" s="248"/>
      <c r="G16" s="26"/>
      <c r="H16" s="26"/>
    </row>
    <row r="17" spans="1:11" x14ac:dyDescent="0.2">
      <c r="A17" s="23" t="str">
        <f>IF(FP="FP-03","304","311")</f>
        <v>311</v>
      </c>
      <c r="B17" s="24" t="str">
        <f>IF(FP="FP-03","Aggregate Stabiliation","Stabilized Aggregate Surface Course")</f>
        <v>Stabilized Aggregate Surface Course</v>
      </c>
      <c r="C17" s="24"/>
      <c r="D17" s="3"/>
      <c r="E17" s="247"/>
      <c r="F17" s="4"/>
      <c r="G17" s="26" t="str">
        <f t="shared" ref="G17:G19" si="0">IF(ISNUMBER(F17),ROUND(F17*0.05,2),"-")</f>
        <v>-</v>
      </c>
      <c r="H17" s="26" t="str">
        <f>IF(AND(ISNUMBER(D17),ISNUMBER(F17)),D17*G17,"-")</f>
        <v>-</v>
      </c>
    </row>
    <row r="18" spans="1:11" ht="6" customHeight="1" x14ac:dyDescent="0.2">
      <c r="A18" s="23"/>
      <c r="B18" s="24"/>
      <c r="C18" s="24"/>
      <c r="D18" s="247"/>
      <c r="E18" s="247"/>
      <c r="F18" s="248"/>
      <c r="G18" s="26"/>
      <c r="H18" s="26"/>
    </row>
    <row r="19" spans="1:11" x14ac:dyDescent="0.2">
      <c r="A19" s="23" t="str">
        <f>IF(FP="FP-03","309","405")</f>
        <v>405</v>
      </c>
      <c r="B19" s="24" t="str">
        <f>IF(FP="FP-03","Emulsified ATB Course","Open-Graded Asphalt Friction Course")</f>
        <v>Open-Graded Asphalt Friction Course</v>
      </c>
      <c r="C19" s="24"/>
      <c r="D19" s="3"/>
      <c r="E19" s="247"/>
      <c r="F19" s="4"/>
      <c r="G19" s="26" t="str">
        <f t="shared" si="0"/>
        <v>-</v>
      </c>
      <c r="H19" s="26" t="str">
        <f>IF(AND(ISNUMBER(D19),ISNUMBER(F19)),D19*G19,"-")</f>
        <v>-</v>
      </c>
    </row>
    <row r="20" spans="1:11" ht="6" customHeight="1" x14ac:dyDescent="0.2">
      <c r="A20" s="23"/>
      <c r="B20" s="24"/>
      <c r="C20" s="24"/>
      <c r="D20" s="247"/>
      <c r="E20" s="247"/>
      <c r="F20" s="248"/>
      <c r="G20" s="26"/>
      <c r="H20" s="26"/>
    </row>
    <row r="21" spans="1:11" x14ac:dyDescent="0.2">
      <c r="A21" s="23" t="str">
        <f>IF(FP="FP-03","405","407")</f>
        <v>407</v>
      </c>
      <c r="B21" s="24" t="str">
        <f>IF(FP="FP-03","Open-Graded Asphalt Friction Course","Chip Seal")</f>
        <v>Chip Seal</v>
      </c>
      <c r="C21" s="24"/>
      <c r="D21" s="3"/>
      <c r="E21" s="247"/>
      <c r="F21" s="4"/>
      <c r="G21" s="26" t="str">
        <f t="shared" ref="G21:G23" si="1">IF(ISNUMBER(F21),ROUND(F21*0.05,2),"-")</f>
        <v>-</v>
      </c>
      <c r="H21" s="26" t="str">
        <f>IF(AND(ISNUMBER(D21),ISNUMBER(F21)),D21*G21,"-")</f>
        <v>-</v>
      </c>
    </row>
    <row r="22" spans="1:11" ht="6" customHeight="1" x14ac:dyDescent="0.2">
      <c r="A22" s="23"/>
      <c r="B22" s="24"/>
      <c r="C22" s="24"/>
      <c r="D22" s="247"/>
      <c r="E22" s="247"/>
      <c r="F22" s="248"/>
      <c r="G22" s="26"/>
      <c r="H22" s="26"/>
    </row>
    <row r="23" spans="1:11" x14ac:dyDescent="0.2">
      <c r="A23" s="23" t="str">
        <f>IF(FP="FP-03","409","-")</f>
        <v>-</v>
      </c>
      <c r="B23" s="24" t="str">
        <f>IF(FP="FP-03","Asphalt Surface Treatment","                         -")</f>
        <v xml:space="preserve">                         -</v>
      </c>
      <c r="C23" s="24"/>
      <c r="D23" s="3"/>
      <c r="E23" s="247"/>
      <c r="F23" s="4"/>
      <c r="G23" s="26" t="str">
        <f t="shared" si="1"/>
        <v>-</v>
      </c>
      <c r="H23" s="26" t="str">
        <f>IF(AND(ISNUMBER(D23),ISNUMBER(F23)),D23*G23,"-")</f>
        <v>-</v>
      </c>
    </row>
    <row r="24" spans="1:11" ht="6" customHeight="1" x14ac:dyDescent="0.2">
      <c r="A24" s="23"/>
      <c r="B24" s="24"/>
      <c r="C24" s="24"/>
      <c r="D24" s="247"/>
      <c r="E24" s="247"/>
      <c r="F24" s="248"/>
      <c r="G24" s="26"/>
      <c r="H24" s="26"/>
    </row>
    <row r="25" spans="1:11" x14ac:dyDescent="0.2">
      <c r="A25" s="23"/>
      <c r="B25" s="24"/>
      <c r="C25" s="24"/>
      <c r="D25" s="247"/>
      <c r="E25" s="247"/>
      <c r="F25" s="248"/>
      <c r="G25" s="26"/>
      <c r="H25" s="26"/>
    </row>
    <row r="26" spans="1:11" ht="6" customHeight="1" x14ac:dyDescent="0.2">
      <c r="A26" s="23"/>
      <c r="B26" s="24"/>
      <c r="C26" s="24"/>
      <c r="D26" s="247"/>
      <c r="E26" s="247"/>
      <c r="F26" s="248"/>
      <c r="G26" s="26"/>
      <c r="H26" s="26"/>
    </row>
    <row r="27" spans="1:11" x14ac:dyDescent="0.2">
      <c r="A27" s="23"/>
      <c r="B27" s="24"/>
      <c r="C27" s="24"/>
      <c r="D27" s="247"/>
      <c r="E27" s="247"/>
      <c r="F27" s="248"/>
      <c r="G27" s="26"/>
      <c r="H27" s="26"/>
    </row>
    <row r="28" spans="1:11" x14ac:dyDescent="0.2">
      <c r="A28" s="23"/>
      <c r="B28" s="24"/>
      <c r="C28" s="24"/>
      <c r="D28" s="25"/>
      <c r="E28" s="25"/>
      <c r="F28" s="27"/>
      <c r="G28" s="26"/>
      <c r="H28" s="26"/>
    </row>
    <row r="29" spans="1:11" ht="13.5" thickBot="1" x14ac:dyDescent="0.25">
      <c r="A29" s="7"/>
      <c r="B29" s="7"/>
      <c r="C29" s="7"/>
      <c r="D29" s="8"/>
      <c r="E29" s="8"/>
      <c r="F29" s="9"/>
      <c r="G29" s="9"/>
      <c r="H29" s="9"/>
    </row>
    <row r="30" spans="1:11" ht="18.75" thickBot="1" x14ac:dyDescent="0.25">
      <c r="A30" s="300" t="s">
        <v>16</v>
      </c>
      <c r="B30" s="300"/>
      <c r="C30" s="300"/>
      <c r="D30" s="300"/>
      <c r="E30" s="300"/>
      <c r="F30" s="300"/>
      <c r="G30" s="300"/>
      <c r="H30" s="300"/>
      <c r="K30" s="28"/>
    </row>
    <row r="31" spans="1:11" x14ac:dyDescent="0.2">
      <c r="A31" s="29" t="s">
        <v>13</v>
      </c>
      <c r="B31" s="29"/>
      <c r="C31" s="18"/>
      <c r="D31" s="18" t="s">
        <v>11</v>
      </c>
      <c r="E31" s="29"/>
      <c r="F31" s="29"/>
      <c r="G31" s="29"/>
      <c r="H31" s="29"/>
      <c r="K31" s="28"/>
    </row>
    <row r="32" spans="1:11" ht="13.5" thickBot="1" x14ac:dyDescent="0.25">
      <c r="A32" s="19" t="s">
        <v>14</v>
      </c>
      <c r="B32" s="20" t="s">
        <v>7</v>
      </c>
      <c r="C32" s="20"/>
      <c r="D32" s="21" t="str">
        <f>IF(Units="US CUSTOMARY"," (Ton or SY)"," (tonnes or m2)")</f>
        <v xml:space="preserve"> (Ton or SY)</v>
      </c>
      <c r="E32" s="22"/>
      <c r="F32" s="21" t="s">
        <v>0</v>
      </c>
      <c r="G32" s="21" t="str">
        <f>"Q_"&amp;IF(Units="US CUSTOMARY","Ton","t")&amp;" Unit Price"</f>
        <v>Q_Ton Unit Price</v>
      </c>
      <c r="H32" s="21" t="s">
        <v>1</v>
      </c>
    </row>
    <row r="33" spans="1:8" ht="13.5" thickTop="1" x14ac:dyDescent="0.2">
      <c r="A33" s="23">
        <v>401</v>
      </c>
      <c r="B33" s="24" t="s">
        <v>2</v>
      </c>
      <c r="C33" s="24"/>
      <c r="D33" s="3"/>
      <c r="E33" s="247"/>
      <c r="F33" s="4"/>
      <c r="G33" s="26" t="str">
        <f>IF(ISNUMBER(F33),ROUND(F33*0.06,2),"-")</f>
        <v>-</v>
      </c>
      <c r="H33" s="26" t="str">
        <f>IF(AND(ISNUMBER(D33),ISNUMBER(F33)),D33*G33,"-")</f>
        <v>-</v>
      </c>
    </row>
    <row r="34" spans="1:8" ht="6" customHeight="1" x14ac:dyDescent="0.2">
      <c r="A34" s="23"/>
      <c r="B34" s="24"/>
      <c r="C34" s="24"/>
      <c r="D34" s="247"/>
      <c r="E34" s="247"/>
      <c r="F34" s="248"/>
      <c r="G34" s="26"/>
      <c r="H34" s="26"/>
    </row>
    <row r="35" spans="1:8" x14ac:dyDescent="0.2">
      <c r="A35" s="23">
        <v>402</v>
      </c>
      <c r="B35" s="24" t="str">
        <f>IF(FP="FP-03","Hot ACP By Hveem or Marshall Mix Design","ACP By Hveem or Marshall Mix Design")</f>
        <v>ACP By Hveem or Marshall Mix Design</v>
      </c>
      <c r="C35" s="24"/>
      <c r="D35" s="3"/>
      <c r="E35" s="247"/>
      <c r="F35" s="4"/>
      <c r="G35" s="26" t="str">
        <f>IF(ISNUMBER(F35),ROUND(F35*0.06,2),"-")</f>
        <v>-</v>
      </c>
      <c r="H35" s="26" t="str">
        <f>IF(AND(ISNUMBER(D35),ISNUMBER(F35)),D35*G35,"-")</f>
        <v>-</v>
      </c>
    </row>
    <row r="36" spans="1:8" x14ac:dyDescent="0.2">
      <c r="A36" s="23"/>
      <c r="B36" s="24"/>
      <c r="C36" s="24"/>
      <c r="D36" s="25"/>
      <c r="E36" s="25"/>
      <c r="F36" s="27"/>
      <c r="G36" s="26"/>
      <c r="H36" s="26"/>
    </row>
    <row r="37" spans="1:8" x14ac:dyDescent="0.2">
      <c r="A37" s="7"/>
      <c r="B37" s="7"/>
      <c r="C37" s="7"/>
      <c r="D37" s="8"/>
      <c r="E37" s="8"/>
      <c r="F37" s="9"/>
      <c r="G37" s="9"/>
      <c r="H37" s="9"/>
    </row>
    <row r="38" spans="1:8" s="31" customFormat="1" x14ac:dyDescent="0.2">
      <c r="A38" s="302" t="s">
        <v>9</v>
      </c>
      <c r="B38" s="302"/>
      <c r="C38" s="302"/>
      <c r="D38" s="302"/>
      <c r="E38" s="302"/>
      <c r="F38" s="302"/>
      <c r="G38" s="302"/>
      <c r="H38" s="30">
        <f>SUM(H13,H15,H17,H19,H21,H23,H25,H27,H33,H35)</f>
        <v>0</v>
      </c>
    </row>
    <row r="39" spans="1:8" x14ac:dyDescent="0.2">
      <c r="A39" s="32"/>
      <c r="B39" s="32"/>
      <c r="C39" s="32"/>
      <c r="D39" s="32"/>
      <c r="E39" s="32"/>
      <c r="F39" s="32"/>
      <c r="G39" s="32"/>
      <c r="H39" s="33"/>
    </row>
    <row r="40" spans="1:8" x14ac:dyDescent="0.2">
      <c r="A40" s="32"/>
      <c r="B40" s="32"/>
      <c r="C40" s="32"/>
      <c r="D40" s="32"/>
      <c r="E40" s="32"/>
      <c r="F40" s="32"/>
      <c r="G40" s="32"/>
      <c r="H40" s="33"/>
    </row>
    <row r="41" spans="1:8" x14ac:dyDescent="0.2">
      <c r="A41" s="32"/>
      <c r="B41" s="32"/>
      <c r="C41" s="32"/>
      <c r="D41" s="32"/>
      <c r="E41" s="32"/>
      <c r="F41" s="32"/>
      <c r="G41" s="32"/>
      <c r="H41" s="33"/>
    </row>
    <row r="42" spans="1:8" ht="13.5" thickBot="1" x14ac:dyDescent="0.25">
      <c r="A42" s="7"/>
      <c r="B42" s="7"/>
      <c r="C42" s="7"/>
      <c r="D42" s="8"/>
      <c r="E42" s="8"/>
      <c r="F42" s="9"/>
      <c r="G42" s="9"/>
      <c r="H42" s="9"/>
    </row>
    <row r="43" spans="1:8" ht="18.75" thickBot="1" x14ac:dyDescent="0.25">
      <c r="A43" s="301" t="s">
        <v>17</v>
      </c>
      <c r="B43" s="301"/>
      <c r="C43" s="301"/>
      <c r="D43" s="301"/>
      <c r="E43" s="301"/>
      <c r="F43" s="301"/>
      <c r="G43" s="301"/>
      <c r="H43" s="301"/>
    </row>
    <row r="44" spans="1:8" x14ac:dyDescent="0.2">
      <c r="A44" s="29" t="s">
        <v>13</v>
      </c>
      <c r="B44" s="29"/>
      <c r="C44" s="29"/>
      <c r="D44" s="29" t="s">
        <v>12</v>
      </c>
      <c r="E44" s="29"/>
      <c r="F44" s="29"/>
      <c r="G44" s="29"/>
      <c r="H44" s="29"/>
    </row>
    <row r="45" spans="1:8" ht="13.5" thickBot="1" x14ac:dyDescent="0.25">
      <c r="A45" s="19" t="s">
        <v>14</v>
      </c>
      <c r="B45" s="20" t="s">
        <v>7</v>
      </c>
      <c r="C45" s="20"/>
      <c r="D45" s="22" t="str">
        <f>"Lane-"&amp;IF(Units="US CUSTOMARY","miles","kilometers")</f>
        <v>Lane-miles</v>
      </c>
      <c r="E45" s="22"/>
      <c r="F45" s="21"/>
      <c r="G45" s="21"/>
      <c r="H45" s="21" t="s">
        <v>1</v>
      </c>
    </row>
    <row r="46" spans="1:8" ht="13.5" thickTop="1" x14ac:dyDescent="0.2">
      <c r="A46" s="23">
        <v>401</v>
      </c>
      <c r="B46" s="7" t="s">
        <v>2</v>
      </c>
      <c r="C46" s="7"/>
      <c r="D46" s="5" t="s">
        <v>152</v>
      </c>
      <c r="E46" s="34"/>
      <c r="F46" s="26"/>
      <c r="G46" s="26"/>
      <c r="H46" s="26" t="str">
        <f>IF(ISNUMBER(D46),(IF(Units="US CUSTOMARY",80000,49600)*(1.05-1)*D46),"-")</f>
        <v>-</v>
      </c>
    </row>
    <row r="47" spans="1:8" ht="6" customHeight="1" x14ac:dyDescent="0.2">
      <c r="A47" s="23"/>
      <c r="B47" s="7"/>
      <c r="C47" s="7"/>
      <c r="D47" s="249"/>
      <c r="E47" s="34"/>
      <c r="F47" s="26"/>
      <c r="G47" s="26"/>
      <c r="H47" s="26"/>
    </row>
    <row r="48" spans="1:8" x14ac:dyDescent="0.2">
      <c r="A48" s="23">
        <v>402</v>
      </c>
      <c r="B48" s="7" t="str">
        <f>IF(FP="FP-03","Hot ACP By Hveem or Marshall Mix Design","ACP By Hveem or Marshall Mix Design")</f>
        <v>ACP By Hveem or Marshall Mix Design</v>
      </c>
      <c r="C48" s="7"/>
      <c r="D48" s="5"/>
      <c r="E48" s="34"/>
      <c r="F48" s="26"/>
      <c r="G48" s="26"/>
      <c r="H48" s="26" t="str">
        <f>IF(ISNUMBER(D48),(IF(Units="US CUSTOMARY",80000,49600)*(1.05-1)*D48),"-")</f>
        <v>-</v>
      </c>
    </row>
    <row r="49" spans="1:8" x14ac:dyDescent="0.2">
      <c r="A49" s="23"/>
      <c r="B49" s="7"/>
      <c r="C49" s="7"/>
      <c r="D49" s="34"/>
      <c r="E49" s="34"/>
      <c r="F49" s="26"/>
      <c r="G49" s="26"/>
      <c r="H49" s="26"/>
    </row>
    <row r="50" spans="1:8" x14ac:dyDescent="0.2">
      <c r="A50" s="7"/>
      <c r="B50" s="7"/>
      <c r="C50" s="7"/>
      <c r="D50" s="8"/>
      <c r="E50" s="8"/>
      <c r="F50" s="9"/>
      <c r="G50" s="9"/>
      <c r="H50" s="9"/>
    </row>
    <row r="51" spans="1:8" x14ac:dyDescent="0.2">
      <c r="A51" s="302" t="s">
        <v>10</v>
      </c>
      <c r="B51" s="302"/>
      <c r="C51" s="302"/>
      <c r="D51" s="302"/>
      <c r="E51" s="302"/>
      <c r="F51" s="302"/>
      <c r="G51" s="302"/>
      <c r="H51" s="35">
        <f>SUM(H46,H48)</f>
        <v>0</v>
      </c>
    </row>
    <row r="52" spans="1:8" x14ac:dyDescent="0.2">
      <c r="A52" s="7"/>
      <c r="B52" s="7"/>
      <c r="C52" s="7"/>
      <c r="D52" s="8"/>
      <c r="E52" s="8"/>
      <c r="F52" s="9"/>
      <c r="G52" s="36"/>
      <c r="H52" s="37"/>
    </row>
    <row r="53" spans="1:8" x14ac:dyDescent="0.2">
      <c r="A53" s="7"/>
      <c r="B53" s="7"/>
      <c r="C53" s="7"/>
      <c r="D53" s="8"/>
      <c r="E53" s="8"/>
      <c r="F53" s="9"/>
      <c r="G53" s="36"/>
      <c r="H53" s="37"/>
    </row>
    <row r="54" spans="1:8" x14ac:dyDescent="0.2">
      <c r="A54" s="7"/>
      <c r="B54" s="7"/>
      <c r="C54" s="7"/>
      <c r="D54" s="8"/>
      <c r="E54" s="8"/>
      <c r="F54" s="9"/>
      <c r="G54" s="36"/>
      <c r="H54" s="37"/>
    </row>
    <row r="55" spans="1:8" x14ac:dyDescent="0.2">
      <c r="A55" s="7"/>
      <c r="B55" s="7"/>
      <c r="C55" s="7"/>
      <c r="D55" s="8"/>
      <c r="E55" s="8"/>
      <c r="F55" s="9"/>
      <c r="G55" s="36"/>
      <c r="H55" s="37"/>
    </row>
    <row r="56" spans="1:8" x14ac:dyDescent="0.2">
      <c r="A56" s="7"/>
      <c r="B56" s="7"/>
      <c r="C56" s="7"/>
      <c r="D56" s="8"/>
      <c r="E56" s="8"/>
      <c r="F56" s="9"/>
      <c r="G56" s="36"/>
      <c r="H56" s="37"/>
    </row>
    <row r="57" spans="1:8" x14ac:dyDescent="0.2">
      <c r="A57" s="7"/>
      <c r="B57" s="7"/>
      <c r="C57" s="7"/>
      <c r="D57" s="8"/>
      <c r="E57" s="8"/>
      <c r="F57" s="9"/>
      <c r="G57" s="36"/>
      <c r="H57" s="37"/>
    </row>
    <row r="58" spans="1:8" x14ac:dyDescent="0.2">
      <c r="A58" s="7"/>
      <c r="B58" s="7"/>
      <c r="C58" s="7"/>
      <c r="D58" s="8"/>
      <c r="E58" s="8"/>
      <c r="F58" s="9"/>
      <c r="G58" s="9"/>
      <c r="H58" s="9"/>
    </row>
    <row r="59" spans="1:8" x14ac:dyDescent="0.2">
      <c r="A59" s="7"/>
      <c r="B59" s="7"/>
      <c r="C59" s="7"/>
      <c r="D59" s="8"/>
      <c r="E59" s="8"/>
      <c r="F59" s="9"/>
      <c r="G59" s="9"/>
      <c r="H59" s="9"/>
    </row>
    <row r="60" spans="1:8" x14ac:dyDescent="0.2">
      <c r="A60" s="40" t="s">
        <v>18</v>
      </c>
      <c r="B60" s="41" t="s">
        <v>19</v>
      </c>
      <c r="C60" s="41"/>
      <c r="D60" s="8"/>
      <c r="E60" s="8"/>
      <c r="F60" s="9"/>
      <c r="G60" s="9"/>
      <c r="H60" s="9"/>
    </row>
    <row r="61" spans="1:8" x14ac:dyDescent="0.2">
      <c r="A61" s="41"/>
      <c r="B61" s="41" t="s">
        <v>20</v>
      </c>
      <c r="C61" s="41"/>
      <c r="D61" s="8"/>
      <c r="E61" s="8"/>
      <c r="F61" s="9"/>
      <c r="G61" s="9"/>
      <c r="H61" s="9"/>
    </row>
    <row r="62" spans="1:8" x14ac:dyDescent="0.2">
      <c r="A62" s="41"/>
      <c r="B62" s="41"/>
      <c r="C62" s="41"/>
      <c r="D62" s="8"/>
      <c r="E62" s="8"/>
      <c r="F62" s="9"/>
      <c r="G62" s="9"/>
      <c r="H62" s="9"/>
    </row>
    <row r="63" spans="1:8" x14ac:dyDescent="0.2">
      <c r="A63" s="40" t="s">
        <v>21</v>
      </c>
      <c r="B63" s="41" t="s">
        <v>22</v>
      </c>
      <c r="C63" s="41"/>
      <c r="D63" s="8"/>
      <c r="E63" s="8"/>
      <c r="F63" s="9"/>
      <c r="G63" s="9"/>
      <c r="H63" s="9"/>
    </row>
    <row r="64" spans="1:8" x14ac:dyDescent="0.2">
      <c r="A64" s="41"/>
      <c r="B64" s="41" t="s">
        <v>20</v>
      </c>
      <c r="C64" s="41"/>
      <c r="D64" s="8"/>
      <c r="E64" s="8"/>
      <c r="F64" s="9"/>
      <c r="G64" s="9"/>
      <c r="H64" s="9"/>
    </row>
    <row r="65" spans="1:8" x14ac:dyDescent="0.2">
      <c r="A65" s="41"/>
      <c r="B65" s="41"/>
      <c r="C65" s="41"/>
      <c r="D65" s="8"/>
      <c r="E65" s="8"/>
      <c r="F65" s="9"/>
      <c r="G65" s="9"/>
      <c r="H65" s="9"/>
    </row>
    <row r="66" spans="1:8" x14ac:dyDescent="0.2">
      <c r="A66" s="40" t="s">
        <v>23</v>
      </c>
      <c r="B66" s="41" t="str">
        <f>"Incentive Amt = (Lane-"&amp;IF(Units="US CUSTOMARY","miles","kilometers")&amp;" x "&amp;IF(Units="US CUSTOMARY","80,000 x 0.05)","49,600 x 0.05)")</f>
        <v>Incentive Amt = (Lane-miles x 80,000 x 0.05)</v>
      </c>
      <c r="C66" s="41"/>
      <c r="D66" s="8"/>
      <c r="E66" s="8"/>
      <c r="F66" s="9"/>
      <c r="G66" s="9"/>
      <c r="H66" s="9"/>
    </row>
    <row r="67" spans="1:8" ht="18" x14ac:dyDescent="0.25">
      <c r="A67" s="298" t="s">
        <v>28</v>
      </c>
      <c r="B67" s="298"/>
      <c r="C67" s="298"/>
      <c r="D67" s="298"/>
      <c r="E67" s="298"/>
      <c r="F67" s="298"/>
      <c r="G67" s="298"/>
      <c r="H67" s="298"/>
    </row>
    <row r="68" spans="1:8" x14ac:dyDescent="0.2">
      <c r="A68" s="7"/>
      <c r="B68" s="7"/>
      <c r="C68" s="11" t="s">
        <v>24</v>
      </c>
      <c r="D68" s="12" t="str">
        <f>IF(FP="FP-03","FP-03","FP-14")</f>
        <v>FP-14</v>
      </c>
      <c r="E68" s="8"/>
      <c r="F68" s="9"/>
      <c r="G68" s="9"/>
      <c r="H68" s="9"/>
    </row>
    <row r="69" spans="1:8" x14ac:dyDescent="0.2">
      <c r="A69" s="7"/>
      <c r="B69" s="7"/>
      <c r="C69" s="7"/>
      <c r="D69" s="10"/>
      <c r="E69" s="8"/>
      <c r="F69" s="9"/>
      <c r="G69" s="9"/>
      <c r="H69" s="9"/>
    </row>
    <row r="70" spans="1:8" x14ac:dyDescent="0.2">
      <c r="A70" s="11" t="s">
        <v>3</v>
      </c>
      <c r="B70" s="294" t="str">
        <f>+B4</f>
        <v>Enter Project Number</v>
      </c>
      <c r="C70" s="294"/>
      <c r="D70" s="12"/>
      <c r="E70" s="12"/>
      <c r="F70" s="13"/>
      <c r="G70" s="14" t="s">
        <v>5</v>
      </c>
      <c r="H70" s="15">
        <f ca="1" xml:space="preserve"> TODAY()</f>
        <v>43503</v>
      </c>
    </row>
    <row r="71" spans="1:8" ht="4.5" customHeight="1" x14ac:dyDescent="0.2">
      <c r="A71" s="11"/>
      <c r="B71" s="294"/>
      <c r="C71" s="294"/>
      <c r="D71" s="12"/>
      <c r="E71" s="12"/>
      <c r="F71" s="13"/>
      <c r="G71" s="14"/>
      <c r="H71" s="15"/>
    </row>
    <row r="72" spans="1:8" x14ac:dyDescent="0.2">
      <c r="A72" s="11" t="s">
        <v>4</v>
      </c>
      <c r="B72" s="303" t="str">
        <f>+B6</f>
        <v>Enter Project name</v>
      </c>
      <c r="C72" s="303"/>
      <c r="D72" s="303"/>
      <c r="E72" s="303"/>
      <c r="F72" s="303"/>
      <c r="G72" s="14" t="str">
        <f>+G6</f>
        <v xml:space="preserve">Option: </v>
      </c>
      <c r="H72" s="17" t="str">
        <f>+H6</f>
        <v>Y</v>
      </c>
    </row>
    <row r="73" spans="1:8" x14ac:dyDescent="0.2">
      <c r="A73" s="7"/>
      <c r="B73" s="7"/>
      <c r="C73" s="7"/>
      <c r="D73" s="8"/>
      <c r="E73" s="8"/>
      <c r="F73" s="9"/>
      <c r="G73" s="14" t="s">
        <v>8</v>
      </c>
      <c r="H73" s="13" t="str">
        <f>+Units</f>
        <v>US CUSTOMARY</v>
      </c>
    </row>
    <row r="74" spans="1:8" ht="6.75" customHeight="1" thickBot="1" x14ac:dyDescent="0.25">
      <c r="A74" s="7"/>
      <c r="B74" s="7"/>
      <c r="C74" s="7"/>
      <c r="D74" s="8"/>
      <c r="E74" s="8"/>
      <c r="F74" s="9"/>
      <c r="G74" s="14"/>
      <c r="H74" s="13"/>
    </row>
    <row r="75" spans="1:8" ht="19.5" customHeight="1" thickBot="1" x14ac:dyDescent="0.25">
      <c r="A75" s="231" t="s">
        <v>33</v>
      </c>
      <c r="B75" s="232"/>
      <c r="C75" s="232"/>
      <c r="D75" s="232"/>
      <c r="E75" s="232"/>
      <c r="F75" s="232"/>
      <c r="G75" s="232"/>
      <c r="H75" s="233"/>
    </row>
    <row r="76" spans="1:8" ht="5.25" customHeight="1" x14ac:dyDescent="0.2">
      <c r="A76" s="18"/>
      <c r="B76" s="44"/>
      <c r="C76" s="44"/>
      <c r="D76" s="45"/>
      <c r="E76" s="46"/>
      <c r="F76" s="45"/>
      <c r="G76" s="45"/>
      <c r="H76" s="45"/>
    </row>
    <row r="77" spans="1:8" x14ac:dyDescent="0.2">
      <c r="A77" s="57" t="s">
        <v>29</v>
      </c>
      <c r="B77" s="58"/>
      <c r="C77" s="59" t="s">
        <v>89</v>
      </c>
      <c r="D77" s="60" t="str">
        <f>IF(Units="US CUSTOMARY"," CUYD"," m3")</f>
        <v xml:space="preserve"> CUYD</v>
      </c>
      <c r="E77" s="61"/>
      <c r="F77" s="62" t="s">
        <v>32</v>
      </c>
      <c r="G77" s="45"/>
      <c r="H77" s="45"/>
    </row>
    <row r="78" spans="1:8" x14ac:dyDescent="0.2">
      <c r="A78" s="189">
        <v>20401</v>
      </c>
      <c r="B78" s="190" t="s">
        <v>30</v>
      </c>
      <c r="C78" s="308">
        <f>IF(Units="US Customary", 0.3, 0.39)</f>
        <v>0.3</v>
      </c>
      <c r="D78" s="192"/>
      <c r="E78" s="193"/>
      <c r="F78" s="210" t="str">
        <f>IF(ISNUMBER(D78),+C$78*D78, "-")</f>
        <v>-</v>
      </c>
      <c r="G78" s="26"/>
      <c r="H78" s="26"/>
    </row>
    <row r="79" spans="1:8" x14ac:dyDescent="0.2">
      <c r="A79" s="189">
        <v>20402</v>
      </c>
      <c r="B79" s="190" t="s">
        <v>35</v>
      </c>
      <c r="C79" s="309"/>
      <c r="D79" s="192"/>
      <c r="E79" s="193"/>
      <c r="F79" s="210" t="str">
        <f t="shared" ref="F79:F87" si="2">IF(ISNUMBER(D79),+C$78*D79, "-")</f>
        <v>-</v>
      </c>
      <c r="G79" s="26"/>
      <c r="H79" s="26"/>
    </row>
    <row r="80" spans="1:8" x14ac:dyDescent="0.2">
      <c r="A80" s="189">
        <v>20403</v>
      </c>
      <c r="B80" s="190" t="s">
        <v>31</v>
      </c>
      <c r="C80" s="309"/>
      <c r="D80" s="192"/>
      <c r="E80" s="193"/>
      <c r="F80" s="210" t="str">
        <f t="shared" si="2"/>
        <v>-</v>
      </c>
      <c r="G80" s="26"/>
      <c r="H80" s="26"/>
    </row>
    <row r="81" spans="1:8" x14ac:dyDescent="0.2">
      <c r="A81" s="189">
        <v>20404</v>
      </c>
      <c r="B81" s="191" t="s">
        <v>38</v>
      </c>
      <c r="C81" s="309"/>
      <c r="D81" s="192"/>
      <c r="E81" s="193"/>
      <c r="F81" s="210" t="str">
        <f t="shared" si="2"/>
        <v>-</v>
      </c>
      <c r="G81" s="26"/>
      <c r="H81" s="26"/>
    </row>
    <row r="82" spans="1:8" x14ac:dyDescent="0.2">
      <c r="A82" s="189">
        <v>20410</v>
      </c>
      <c r="B82" s="191" t="s">
        <v>34</v>
      </c>
      <c r="C82" s="309"/>
      <c r="D82" s="192"/>
      <c r="E82" s="193"/>
      <c r="F82" s="210" t="str">
        <f t="shared" si="2"/>
        <v>-</v>
      </c>
      <c r="G82" s="26"/>
      <c r="H82" s="26"/>
    </row>
    <row r="83" spans="1:8" x14ac:dyDescent="0.2">
      <c r="A83" s="189">
        <v>20411</v>
      </c>
      <c r="B83" s="191" t="s">
        <v>39</v>
      </c>
      <c r="C83" s="309"/>
      <c r="D83" s="192"/>
      <c r="E83" s="193"/>
      <c r="F83" s="210" t="str">
        <f t="shared" si="2"/>
        <v>-</v>
      </c>
      <c r="G83" s="26"/>
      <c r="H83" s="26"/>
    </row>
    <row r="84" spans="1:8" x14ac:dyDescent="0.2">
      <c r="A84" s="189">
        <v>20415</v>
      </c>
      <c r="B84" s="191" t="s">
        <v>36</v>
      </c>
      <c r="C84" s="309"/>
      <c r="D84" s="192"/>
      <c r="E84" s="193"/>
      <c r="F84" s="210" t="str">
        <f t="shared" si="2"/>
        <v>-</v>
      </c>
      <c r="G84" s="26"/>
      <c r="H84" s="26"/>
    </row>
    <row r="85" spans="1:8" x14ac:dyDescent="0.2">
      <c r="A85" s="189">
        <v>20416</v>
      </c>
      <c r="B85" s="191" t="s">
        <v>40</v>
      </c>
      <c r="C85" s="309"/>
      <c r="D85" s="192"/>
      <c r="E85" s="193"/>
      <c r="F85" s="210" t="str">
        <f t="shared" si="2"/>
        <v>-</v>
      </c>
      <c r="G85" s="26"/>
      <c r="H85" s="26"/>
    </row>
    <row r="86" spans="1:8" x14ac:dyDescent="0.2">
      <c r="A86" s="189">
        <v>20420</v>
      </c>
      <c r="B86" s="191" t="s">
        <v>136</v>
      </c>
      <c r="C86" s="309"/>
      <c r="D86" s="192"/>
      <c r="E86" s="193"/>
      <c r="F86" s="210" t="str">
        <f t="shared" si="2"/>
        <v>-</v>
      </c>
      <c r="G86" s="26"/>
      <c r="H86" s="26"/>
    </row>
    <row r="87" spans="1:8" x14ac:dyDescent="0.2">
      <c r="A87" s="189">
        <v>20421</v>
      </c>
      <c r="B87" s="191" t="s">
        <v>37</v>
      </c>
      <c r="C87" s="309"/>
      <c r="D87" s="192"/>
      <c r="E87" s="193"/>
      <c r="F87" s="210" t="str">
        <f t="shared" si="2"/>
        <v>-</v>
      </c>
      <c r="G87" s="26"/>
      <c r="H87" s="26"/>
    </row>
    <row r="88" spans="1:8" x14ac:dyDescent="0.2">
      <c r="A88" s="63" t="s">
        <v>45</v>
      </c>
      <c r="B88" s="64"/>
      <c r="C88" s="59" t="s">
        <v>89</v>
      </c>
      <c r="D88" s="60" t="str">
        <f>IF(Units="US CUSTOMARY"," Tons"," tonnes")</f>
        <v xml:space="preserve"> Tons</v>
      </c>
      <c r="E88" s="61"/>
      <c r="F88" s="62" t="s">
        <v>32</v>
      </c>
      <c r="G88" s="26"/>
      <c r="H88" s="26"/>
    </row>
    <row r="89" spans="1:8" x14ac:dyDescent="0.2">
      <c r="A89" s="189">
        <v>30101</v>
      </c>
      <c r="B89" s="191" t="s">
        <v>41</v>
      </c>
      <c r="C89" s="310">
        <f>IF(Units="US Customary", 0.7, 0.77)</f>
        <v>0.7</v>
      </c>
      <c r="D89" s="192"/>
      <c r="E89" s="193"/>
      <c r="F89" s="210" t="str">
        <f>IF(ISNUMBER(D89),+C$89*D89, "-")</f>
        <v>-</v>
      </c>
      <c r="G89" s="26"/>
      <c r="H89" s="26"/>
    </row>
    <row r="90" spans="1:8" x14ac:dyDescent="0.2">
      <c r="A90" s="189">
        <v>30102</v>
      </c>
      <c r="B90" s="191" t="s">
        <v>42</v>
      </c>
      <c r="C90" s="311"/>
      <c r="D90" s="192"/>
      <c r="E90" s="193"/>
      <c r="F90" s="210" t="str">
        <f t="shared" ref="F90:F97" si="3">IF(ISNUMBER(D90),+C$89*D90, "-")</f>
        <v>-</v>
      </c>
      <c r="G90" s="26"/>
      <c r="H90" s="26"/>
    </row>
    <row r="91" spans="1:8" x14ac:dyDescent="0.2">
      <c r="A91" s="189">
        <v>30103</v>
      </c>
      <c r="B91" s="191" t="s">
        <v>42</v>
      </c>
      <c r="C91" s="311"/>
      <c r="D91" s="192"/>
      <c r="E91" s="193"/>
      <c r="F91" s="210" t="str">
        <f t="shared" si="3"/>
        <v>-</v>
      </c>
      <c r="G91" s="26"/>
      <c r="H91" s="26"/>
    </row>
    <row r="92" spans="1:8" x14ac:dyDescent="0.2">
      <c r="A92" s="237">
        <v>30105</v>
      </c>
      <c r="B92" s="238" t="s">
        <v>43</v>
      </c>
      <c r="C92" s="311"/>
      <c r="D92" s="192"/>
      <c r="E92" s="193"/>
      <c r="F92" s="210" t="str">
        <f t="shared" si="3"/>
        <v>-</v>
      </c>
      <c r="G92" s="26"/>
      <c r="H92" s="26"/>
    </row>
    <row r="93" spans="1:8" x14ac:dyDescent="0.2">
      <c r="A93" s="237">
        <v>30106</v>
      </c>
      <c r="B93" s="238" t="s">
        <v>44</v>
      </c>
      <c r="C93" s="311"/>
      <c r="D93" s="192"/>
      <c r="E93" s="193"/>
      <c r="F93" s="210" t="str">
        <f t="shared" si="3"/>
        <v>-</v>
      </c>
      <c r="G93" s="26"/>
      <c r="H93" s="26"/>
    </row>
    <row r="94" spans="1:8" x14ac:dyDescent="0.2">
      <c r="A94" s="237">
        <v>30107</v>
      </c>
      <c r="B94" s="238" t="s">
        <v>44</v>
      </c>
      <c r="C94" s="311"/>
      <c r="D94" s="192"/>
      <c r="E94" s="193"/>
      <c r="F94" s="210" t="str">
        <f t="shared" si="3"/>
        <v>-</v>
      </c>
      <c r="G94" s="26"/>
      <c r="H94" s="26"/>
    </row>
    <row r="95" spans="1:8" x14ac:dyDescent="0.2">
      <c r="A95" s="237">
        <v>30110</v>
      </c>
      <c r="B95" s="238" t="s">
        <v>137</v>
      </c>
      <c r="C95" s="311"/>
      <c r="D95" s="192"/>
      <c r="E95" s="193"/>
      <c r="F95" s="210" t="str">
        <f t="shared" si="3"/>
        <v>-</v>
      </c>
      <c r="G95" s="26"/>
      <c r="H95" s="26"/>
    </row>
    <row r="96" spans="1:8" x14ac:dyDescent="0.2">
      <c r="A96" s="237">
        <v>30111</v>
      </c>
      <c r="B96" s="238" t="s">
        <v>138</v>
      </c>
      <c r="C96" s="311"/>
      <c r="D96" s="192"/>
      <c r="E96" s="193"/>
      <c r="F96" s="210" t="str">
        <f t="shared" si="3"/>
        <v>-</v>
      </c>
      <c r="G96" s="26"/>
      <c r="H96" s="26"/>
    </row>
    <row r="97" spans="1:8" x14ac:dyDescent="0.2">
      <c r="A97" s="237">
        <v>30112</v>
      </c>
      <c r="B97" s="238" t="s">
        <v>138</v>
      </c>
      <c r="C97" s="311"/>
      <c r="D97" s="192"/>
      <c r="E97" s="193"/>
      <c r="F97" s="210" t="str">
        <f t="shared" si="3"/>
        <v>-</v>
      </c>
      <c r="G97" s="26"/>
      <c r="H97" s="26"/>
    </row>
    <row r="98" spans="1:8" x14ac:dyDescent="0.2">
      <c r="A98" s="63" t="str">
        <f>IF(FP="FP-03","Section 302 - Untreated Aggregate Courses","Section 305 - Full Depth reclamation (FDR) with Cement")</f>
        <v>Section 305 - Full Depth reclamation (FDR) with Cement</v>
      </c>
      <c r="B98" s="64"/>
      <c r="C98" s="59" t="s">
        <v>89</v>
      </c>
      <c r="D98" s="60" t="str">
        <f>IF(Units="US CUSTOMARY",(VLOOKUP(A100,'VLookup table'!A1:E6,4)),(VLOOKUP(A100,'VLookup table'!A1:E6,5)))</f>
        <v>SQYD</v>
      </c>
      <c r="E98" s="65"/>
      <c r="F98" s="62" t="s">
        <v>32</v>
      </c>
      <c r="G98" s="26"/>
      <c r="H98" s="26"/>
    </row>
    <row r="99" spans="1:8" x14ac:dyDescent="0.2">
      <c r="A99" s="189" t="str">
        <f>IF(FP="FP-03","30201","30501")</f>
        <v>30501</v>
      </c>
      <c r="B99" s="190" t="str">
        <f>IF(FP="FP-03","Treated aggregate course","FDR with cement*")</f>
        <v>FDR with cement*</v>
      </c>
      <c r="C99" s="311">
        <f>IF(Units="US CUSTOMARY",(VLOOKUP(A100,'VLookup table'!A2:G8,6)),(VLOOKUP(A100,'VLookup table'!A2:G8,7)))</f>
        <v>0.3</v>
      </c>
      <c r="D99" s="192"/>
      <c r="E99" s="193"/>
      <c r="F99" s="210" t="str">
        <f>IF(ISNUMBER(D99),+C$99*D99, "-")</f>
        <v>-</v>
      </c>
      <c r="G99" s="26"/>
      <c r="H99" s="26"/>
    </row>
    <row r="100" spans="1:8" x14ac:dyDescent="0.2">
      <c r="A100" s="189" t="str">
        <f>IF(FP="FP-03","30202","30502")</f>
        <v>30502</v>
      </c>
      <c r="B100" s="190" t="str">
        <f>IF(FP="FP-03","Treated aggregate course*","FDR with cement")</f>
        <v>FDR with cement</v>
      </c>
      <c r="C100" s="311"/>
      <c r="D100" s="192"/>
      <c r="E100" s="193"/>
      <c r="F100" s="210" t="str">
        <f>IF(ISNUMBER(D100),+C$99*D100, "-")</f>
        <v>-</v>
      </c>
      <c r="G100" s="26"/>
      <c r="H100" s="26"/>
    </row>
    <row r="101" spans="1:8" x14ac:dyDescent="0.2">
      <c r="A101" s="63" t="str">
        <f>IF(FP="FP-03","Section 304 - Aggregate Stabilization","Section 306 - Full Depth Reclamation (FDR) with Asphalt")</f>
        <v>Section 306 - Full Depth Reclamation (FDR) with Asphalt</v>
      </c>
      <c r="B101" s="66"/>
      <c r="C101" s="59" t="s">
        <v>89</v>
      </c>
      <c r="D101" s="60" t="str">
        <f>IF(Units="US CUSTOMARY",(VLOOKUP(A103,'VLookup table'!A7:E17,4)),(VLOOKUP(A103,'VLookup table'!A7:E17,5)))</f>
        <v>SQYD</v>
      </c>
      <c r="E101" s="65"/>
      <c r="F101" s="62" t="s">
        <v>32</v>
      </c>
      <c r="G101" s="26"/>
      <c r="H101" s="26"/>
    </row>
    <row r="102" spans="1:8" x14ac:dyDescent="0.2">
      <c r="A102" s="189" t="str">
        <f>IF(FP="FP-03","30401","30601")</f>
        <v>30601</v>
      </c>
      <c r="B102" s="194" t="str">
        <f>IF(FP="FP-03","Aggregate stabilzation imported aggregate","FDR with emulsified asphalt*")</f>
        <v>FDR with emulsified asphalt*</v>
      </c>
      <c r="C102" s="310">
        <f>IF(Units="US CUSTOMARY",(VLOOKUP(A103,'VLookup table'!A2:G8,6)),(VLOOKUP(A103,'VLookup table'!A2:G8,7)))</f>
        <v>0.3</v>
      </c>
      <c r="D102" s="192"/>
      <c r="E102" s="193"/>
      <c r="F102" s="210" t="str">
        <f>IF(ISNUMBER(D102),+C$102*D102, "-")</f>
        <v>-</v>
      </c>
      <c r="G102" s="74"/>
      <c r="H102" s="26"/>
    </row>
    <row r="103" spans="1:8" x14ac:dyDescent="0.2">
      <c r="A103" s="189" t="str">
        <f>IF(FP="FP-03","30402","30602")</f>
        <v>30602</v>
      </c>
      <c r="B103" s="194" t="str">
        <f>IF(FP="FP-03","Aggregate stabilzation imported aggregate*","FDR with emulsified asphalt")</f>
        <v>FDR with emulsified asphalt</v>
      </c>
      <c r="C103" s="311"/>
      <c r="D103" s="192"/>
      <c r="E103" s="193"/>
      <c r="F103" s="210" t="str">
        <f t="shared" ref="F103:F106" si="4">IF(ISNUMBER(D103),+C$102*D103, "-")</f>
        <v>-</v>
      </c>
      <c r="G103" s="74"/>
      <c r="H103" s="26"/>
    </row>
    <row r="104" spans="1:8" x14ac:dyDescent="0.2">
      <c r="A104" s="189" t="str">
        <f>IF(FP="FP-03","30405","30603")</f>
        <v>30603</v>
      </c>
      <c r="B104" s="194" t="str">
        <f>IF(FP="FP-03","Aggregate stabilzation in-place aggregate*","FDR with foamed asphalt*")</f>
        <v>FDR with foamed asphalt*</v>
      </c>
      <c r="C104" s="311"/>
      <c r="D104" s="192"/>
      <c r="E104" s="193"/>
      <c r="F104" s="210" t="str">
        <f t="shared" si="4"/>
        <v>-</v>
      </c>
      <c r="G104" s="74"/>
      <c r="H104" s="26"/>
    </row>
    <row r="105" spans="1:8" ht="22.5" customHeight="1" x14ac:dyDescent="0.2">
      <c r="A105" s="195" t="str">
        <f>IF(FP="FP-03","30410","30604")</f>
        <v>30604</v>
      </c>
      <c r="B105" s="196" t="str">
        <f>IF(FP="FP-03","Aggregate stabilzation imported surface course*","FDR with foamed asphalt")</f>
        <v>FDR with foamed asphalt</v>
      </c>
      <c r="C105" s="311"/>
      <c r="D105" s="197"/>
      <c r="E105" s="198"/>
      <c r="F105" s="210" t="str">
        <f t="shared" si="4"/>
        <v>-</v>
      </c>
      <c r="G105" s="74"/>
      <c r="H105" s="26"/>
    </row>
    <row r="106" spans="1:8" ht="22.5" customHeight="1" x14ac:dyDescent="0.2">
      <c r="A106" s="195" t="str">
        <f>IF(FP="FP-03","30411","")</f>
        <v/>
      </c>
      <c r="B106" s="196" t="str">
        <f>IF(FP="FP-03","Aggregate stabilzation imported surface course*"," ")</f>
        <v xml:space="preserve"> </v>
      </c>
      <c r="C106" s="311"/>
      <c r="D106" s="197"/>
      <c r="E106" s="198"/>
      <c r="F106" s="210" t="str">
        <f t="shared" si="4"/>
        <v>-</v>
      </c>
      <c r="G106" s="74"/>
      <c r="H106" s="26"/>
    </row>
    <row r="107" spans="1:8" x14ac:dyDescent="0.2">
      <c r="A107" s="63" t="s">
        <v>139</v>
      </c>
      <c r="B107" s="66"/>
      <c r="C107" s="59" t="s">
        <v>89</v>
      </c>
      <c r="D107" s="60" t="str">
        <f>IF(Units="US CUSTOMARY"," Tons"," tonnes")</f>
        <v xml:space="preserve"> Tons</v>
      </c>
      <c r="E107" s="65"/>
      <c r="F107" s="67" t="s">
        <v>32</v>
      </c>
      <c r="G107" s="26"/>
      <c r="H107" s="26"/>
    </row>
    <row r="108" spans="1:8" x14ac:dyDescent="0.2">
      <c r="A108" s="189">
        <v>30901</v>
      </c>
      <c r="B108" s="239" t="s">
        <v>78</v>
      </c>
      <c r="C108" s="310">
        <f>IF(Units="US Customary", 0.7, 0.77)</f>
        <v>0.7</v>
      </c>
      <c r="D108" s="192"/>
      <c r="E108" s="193"/>
      <c r="F108" s="210" t="str">
        <f>IF(ISNUMBER(D108),+C$108*D108, "-")</f>
        <v>-</v>
      </c>
      <c r="G108" s="26"/>
      <c r="H108" s="26"/>
    </row>
    <row r="109" spans="1:8" x14ac:dyDescent="0.2">
      <c r="A109" s="189">
        <v>30902</v>
      </c>
      <c r="B109" s="239" t="s">
        <v>79</v>
      </c>
      <c r="C109" s="311"/>
      <c r="D109" s="192"/>
      <c r="E109" s="193"/>
      <c r="F109" s="210" t="str">
        <f t="shared" ref="F109:F110" si="5">IF(ISNUMBER(D109),+C$108*D109, "-")</f>
        <v>-</v>
      </c>
      <c r="G109" s="26"/>
      <c r="H109" s="26"/>
    </row>
    <row r="110" spans="1:8" x14ac:dyDescent="0.2">
      <c r="A110" s="189">
        <v>30903</v>
      </c>
      <c r="B110" s="239" t="s">
        <v>79</v>
      </c>
      <c r="C110" s="311"/>
      <c r="D110" s="192"/>
      <c r="E110" s="193"/>
      <c r="F110" s="210" t="str">
        <f t="shared" si="5"/>
        <v>-</v>
      </c>
      <c r="G110" s="26"/>
      <c r="H110" s="26"/>
    </row>
    <row r="111" spans="1:8" x14ac:dyDescent="0.2">
      <c r="A111" s="63" t="str">
        <f>IF(FP="FP-03","Section 401 - Superpave HACP","Section 310 - Cold In-Place (CIP) Recycled Asphalt Base")</f>
        <v>Section 310 - Cold In-Place (CIP) Recycled Asphalt Base</v>
      </c>
      <c r="B111" s="58"/>
      <c r="C111" s="59" t="s">
        <v>89</v>
      </c>
      <c r="D111" s="82" t="str">
        <f>IF(Units="US CUSTOMARY", (VLOOKUP(A113,'VLookup table'!A18:G27,4)),(VLOOKUP(A113,'VLookup table'!A18:G27,5)))</f>
        <v>SQYD</v>
      </c>
      <c r="E111" s="65"/>
      <c r="F111" s="67" t="s">
        <v>32</v>
      </c>
      <c r="G111" s="84"/>
      <c r="H111" s="26"/>
    </row>
    <row r="112" spans="1:8" x14ac:dyDescent="0.2">
      <c r="A112" s="189" t="str">
        <f>IF(FP="FP-03","40101","31001")</f>
        <v>31001</v>
      </c>
      <c r="B112" s="190" t="str">
        <f>IF(FP="FP-03","Superpave pavement","CIP recycled ashalt base*")</f>
        <v>CIP recycled ashalt base*</v>
      </c>
      <c r="C112" s="311">
        <f>IF(Units="US CUSTOMARY",(VLOOKUP(A113,'VLookup table'!A18:G27,6)),(VLOOKUP(A113,'VLookup table'!A18:G27,7)))</f>
        <v>0.15</v>
      </c>
      <c r="D112" s="192"/>
      <c r="E112" s="193"/>
      <c r="F112" s="210" t="str">
        <f>IF(ISNUMBER(D112),+C$112*D112, "-")</f>
        <v>-</v>
      </c>
      <c r="G112" s="26"/>
      <c r="H112" s="26"/>
    </row>
    <row r="113" spans="1:8" ht="22.5" customHeight="1" x14ac:dyDescent="0.2">
      <c r="A113" s="195" t="str">
        <f>IF(FP="FP-03","40102","31002")</f>
        <v>31002</v>
      </c>
      <c r="B113" s="196" t="str">
        <f>IF(FP="FP-03","Superpave pavement wedge and levelling course","CIP recycled ashalt base")</f>
        <v>CIP recycled ashalt base</v>
      </c>
      <c r="C113" s="311"/>
      <c r="D113" s="197"/>
      <c r="E113" s="198"/>
      <c r="F113" s="210" t="str">
        <f>IF(ISNUMBER(D113),+C$112*D113, "-")</f>
        <v>-</v>
      </c>
      <c r="G113" s="26"/>
      <c r="H113" s="26"/>
    </row>
    <row r="114" spans="1:8" x14ac:dyDescent="0.2">
      <c r="A114" s="63" t="str">
        <f>IF(FP="FP-03","Section 402 - HACP by Hveem or Marshall","Section 311 - Stabilized Aggregate Base Course")</f>
        <v>Section 311 - Stabilized Aggregate Base Course</v>
      </c>
      <c r="B114" s="58"/>
      <c r="C114" s="59" t="s">
        <v>89</v>
      </c>
      <c r="D114" s="82" t="str">
        <f>IF(Units="US CUSTOMARY", (VLOOKUP(A116,'VLookup table'!A21:G29,4)),(VLOOKUP(A116,'VLookup table'!A21:G29,5)))</f>
        <v>Tons</v>
      </c>
      <c r="E114" s="65"/>
      <c r="F114" s="67" t="s">
        <v>32</v>
      </c>
      <c r="G114" s="26"/>
      <c r="H114" s="26"/>
    </row>
    <row r="115" spans="1:8" ht="12.75" customHeight="1" x14ac:dyDescent="0.2">
      <c r="A115" s="189" t="str">
        <f>IF(FP="FP-03","40201","31101")</f>
        <v>31101</v>
      </c>
      <c r="B115" s="190" t="str">
        <f>IF(FP="FP-03","HACP Hveem or Marshall test","Stabilized aggregate surface course*")</f>
        <v>Stabilized aggregate surface course*</v>
      </c>
      <c r="C115" s="304">
        <f>IF(Units="US CUSTOMARY",(VLOOKUP(A116,'VLookup table'!A21:G29,6)),(VLOOKUP(A116,'VLookup table'!A21:G29,7)))</f>
        <v>0.7</v>
      </c>
      <c r="D115" s="192"/>
      <c r="E115" s="193"/>
      <c r="F115" s="210" t="str">
        <f>IF(ISNUMBER(D115),+C$115*D115, "-")</f>
        <v>-</v>
      </c>
      <c r="G115" s="84"/>
      <c r="H115" s="26"/>
    </row>
    <row r="116" spans="1:8" ht="23.25" customHeight="1" x14ac:dyDescent="0.2">
      <c r="A116" s="195" t="str">
        <f>IF(FP="FP-03","40202","31102")</f>
        <v>31102</v>
      </c>
      <c r="B116" s="196" t="str">
        <f>IF(FP="FP-03","HACP Hveem or Marshall test, wedge and levelling course","Stabilized aggregate surface course*")</f>
        <v>Stabilized aggregate surface course*</v>
      </c>
      <c r="C116" s="304"/>
      <c r="D116" s="197"/>
      <c r="E116" s="198"/>
      <c r="F116" s="210" t="str">
        <f t="shared" ref="F116:F117" si="6">IF(ISNUMBER(D116),+C$115*D116, "-")</f>
        <v>-</v>
      </c>
      <c r="G116" s="26"/>
      <c r="H116" s="26"/>
    </row>
    <row r="117" spans="1:8" x14ac:dyDescent="0.2">
      <c r="A117" s="189" t="str">
        <f>IF(FP="FP-03"," ","31103")</f>
        <v>31103</v>
      </c>
      <c r="B117" s="190" t="str">
        <f>IF(FP="FP-03"," ","Stabilized aggregate surface course")</f>
        <v>Stabilized aggregate surface course</v>
      </c>
      <c r="C117" s="305"/>
      <c r="D117" s="192"/>
      <c r="E117" s="193"/>
      <c r="F117" s="210" t="str">
        <f t="shared" si="6"/>
        <v>-</v>
      </c>
      <c r="G117" s="26"/>
      <c r="H117" s="26"/>
    </row>
    <row r="118" spans="1:8" x14ac:dyDescent="0.2">
      <c r="A118" s="68" t="str">
        <f>IF(FP="FP-03","Section 403 - Hot Asphalt Concrete Pavement","Section 401 - ACP by Gyratory Mix Design Method")</f>
        <v>Section 401 - ACP by Gyratory Mix Design Method</v>
      </c>
      <c r="B118" s="69"/>
      <c r="C118" s="79" t="s">
        <v>89</v>
      </c>
      <c r="D118" s="82" t="str">
        <f>IF(Units="US CUSTOMARY", (VLOOKUP(A120,'VLookup table'!A30:G35,4)),(VLOOKUP(A120,'VLookup table'!A30:G35,5)))</f>
        <v>Tons</v>
      </c>
      <c r="E118" s="72"/>
      <c r="F118" s="78" t="s">
        <v>32</v>
      </c>
      <c r="G118" s="26"/>
      <c r="H118" s="26"/>
    </row>
    <row r="119" spans="1:8" x14ac:dyDescent="0.2">
      <c r="A119" s="199" t="str">
        <f>IF(FP="FP-03","40301","40101")</f>
        <v>40101</v>
      </c>
      <c r="B119" s="191" t="str">
        <f>IF(FP="FP-03","Hot asphalt concrete pavement","Asphalt concrete pavement, gyratory mix")</f>
        <v>Asphalt concrete pavement, gyratory mix</v>
      </c>
      <c r="C119" s="304">
        <f>IF(Units="US CUSTOMARY",(VLOOKUP(A120,'VLookup table'!A30:G35,6)),(VLOOKUP(A120,'VLookup table'!A30:G35,7)))</f>
        <v>2.4</v>
      </c>
      <c r="D119" s="200"/>
      <c r="E119" s="201"/>
      <c r="F119" s="240" t="str">
        <f>IF(ISNUMBER(D119),+C$119*D119, "-")</f>
        <v>-</v>
      </c>
      <c r="G119" s="84"/>
      <c r="H119" s="26"/>
    </row>
    <row r="120" spans="1:8" ht="22.5" x14ac:dyDescent="0.2">
      <c r="A120" s="202" t="str">
        <f>IF(FP="FP-03","40302","40102")</f>
        <v>40102</v>
      </c>
      <c r="B120" s="203" t="str">
        <f>IF(FP="FP-03","Hot asphalt concrete pavement, wedge and levelling course","Asphalt concrete pavement, gyratory mix, wedged and leveling")</f>
        <v>Asphalt concrete pavement, gyratory mix, wedged and leveling</v>
      </c>
      <c r="C120" s="304"/>
      <c r="D120" s="204"/>
      <c r="E120" s="205"/>
      <c r="F120" s="240" t="str">
        <f>IF(ISNUMBER(D120),+C$119*D120, "-")</f>
        <v>-</v>
      </c>
      <c r="G120" s="26"/>
      <c r="H120" s="26"/>
    </row>
    <row r="121" spans="1:8" ht="28.5" customHeight="1" x14ac:dyDescent="0.25">
      <c r="A121" s="306" t="str">
        <f>IF(FP="FP-03","Section 405 - Open-Graded Asphalt Friction Course","Section 402 - ACP by Hveem or Marshall Mix Design Method")</f>
        <v>Section 402 - ACP by Hveem or Marshall Mix Design Method</v>
      </c>
      <c r="B121" s="307"/>
      <c r="C121" s="162" t="s">
        <v>89</v>
      </c>
      <c r="D121" s="163" t="str">
        <f>IF(Units="US CUSTOMARY", (VLOOKUP(A121,'VLookup table'!A37:G40,4)),(VLOOKUP(A121,'VLookup table'!A37:G40,5)))</f>
        <v>Tons</v>
      </c>
      <c r="E121" s="164"/>
      <c r="F121" s="165" t="s">
        <v>32</v>
      </c>
      <c r="G121" s="26"/>
      <c r="H121" s="26"/>
    </row>
    <row r="122" spans="1:8" ht="12.75" customHeight="1" x14ac:dyDescent="0.2">
      <c r="A122" s="199" t="str">
        <f>IF(FP="FP-03","40501","40201")</f>
        <v>40201</v>
      </c>
      <c r="B122" s="191" t="str">
        <f>IF(FP="FP-03","Open-graded asphalt friction course","ACP Hveem or Marshall Mix Design Method")</f>
        <v>ACP Hveem or Marshall Mix Design Method</v>
      </c>
      <c r="C122" s="304">
        <f>IF(Units="US CUSTOMARY",(VLOOKUP(A121,'VLookup table'!A35:G39,6)),(VLOOKUP(A121,'VLookup table'!A35:G39,7)))</f>
        <v>2.4</v>
      </c>
      <c r="D122" s="200"/>
      <c r="E122" s="201"/>
      <c r="F122" s="240" t="str">
        <f>IF(ISNUMBER(D122),+C$122*D122, "-")</f>
        <v>-</v>
      </c>
      <c r="G122" s="84"/>
      <c r="H122" s="26"/>
    </row>
    <row r="123" spans="1:8" ht="23.25" customHeight="1" x14ac:dyDescent="0.2">
      <c r="A123" s="202" t="str">
        <f>IF(FP="FP-03","","40202")</f>
        <v>40202</v>
      </c>
      <c r="B123" s="203" t="str">
        <f>IF(FP="FP-03","","ACP Hveen or Marshall Mix, wedge and leveling")</f>
        <v>ACP Hveen or Marshall Mix, wedge and leveling</v>
      </c>
      <c r="C123" s="304"/>
      <c r="D123" s="204"/>
      <c r="E123" s="205"/>
      <c r="F123" s="240" t="str">
        <f>IF(ISNUMBER(D123),+C$122*D123, "-")</f>
        <v>-</v>
      </c>
      <c r="G123" s="26"/>
      <c r="H123" s="26"/>
    </row>
    <row r="124" spans="1:8" x14ac:dyDescent="0.2">
      <c r="A124" s="68" t="str">
        <f>IF(FP="FP-03","Section 408 - Cold Recycled Asphalt base Course","Section 403 - Asphalt Concrete")</f>
        <v>Section 403 - Asphalt Concrete</v>
      </c>
      <c r="B124" s="69"/>
      <c r="C124" s="79" t="s">
        <v>89</v>
      </c>
      <c r="D124" s="82" t="str">
        <f>IF(Units="US CUSTOMARY", (VLOOKUP(A124,'VLookup table'!A38:G46,4)),(VLOOKUP(A124,'VLookup table'!A38:G46,5)))</f>
        <v>Tons</v>
      </c>
      <c r="E124" s="72"/>
      <c r="F124" s="78" t="s">
        <v>32</v>
      </c>
      <c r="G124" s="49"/>
      <c r="H124" s="49"/>
    </row>
    <row r="125" spans="1:8" x14ac:dyDescent="0.2">
      <c r="A125" s="199" t="str">
        <f>IF(FP="FP-03","40801","40301")</f>
        <v>40301</v>
      </c>
      <c r="B125" s="191" t="str">
        <f>IF(FP="FP-03","Cold recylced aphalt base","Asphalt concrete pavement")</f>
        <v>Asphalt concrete pavement</v>
      </c>
      <c r="C125" s="304">
        <f>IF(Units="US CUSTOMARY",(VLOOKUP(A124,'VLookup table'!A38:G46,6)),(VLOOKUP(A124,'VLookup table'!A38:G46,7)))</f>
        <v>2.4</v>
      </c>
      <c r="D125" s="200"/>
      <c r="E125" s="201"/>
      <c r="F125" s="240" t="str">
        <f>IF(ISNUMBER(D125),+C$125*D125, "-")</f>
        <v>-</v>
      </c>
      <c r="G125" s="154"/>
      <c r="H125" s="18"/>
    </row>
    <row r="126" spans="1:8" x14ac:dyDescent="0.2">
      <c r="A126" s="199" t="str">
        <f>IF(FP="FP-03","40802","40302")</f>
        <v>40302</v>
      </c>
      <c r="B126" s="191" t="str">
        <f>IF(FP="FP-03","Cold recylced aphalt base*","Asphalt concrete pavement*")</f>
        <v>Asphalt concrete pavement*</v>
      </c>
      <c r="C126" s="304"/>
      <c r="D126" s="200"/>
      <c r="E126" s="201"/>
      <c r="F126" s="240" t="str">
        <f t="shared" ref="F126:F127" si="7">IF(ISNUMBER(D126),+C$125*D126, "-")</f>
        <v>-</v>
      </c>
      <c r="G126" s="45"/>
      <c r="H126" s="45"/>
    </row>
    <row r="127" spans="1:8" ht="22.5" x14ac:dyDescent="0.2">
      <c r="A127" s="202" t="str">
        <f>IF(FP="FP-03","","40303")</f>
        <v>40303</v>
      </c>
      <c r="B127" s="203" t="str">
        <f>IF(FP="FP-03","","Asphalt concrete pavement, wedge and levelling")</f>
        <v>Asphalt concrete pavement, wedge and levelling</v>
      </c>
      <c r="C127" s="305"/>
      <c r="D127" s="204"/>
      <c r="E127" s="205"/>
      <c r="F127" s="240" t="str">
        <f t="shared" si="7"/>
        <v>-</v>
      </c>
      <c r="G127" s="45"/>
      <c r="H127" s="45"/>
    </row>
    <row r="128" spans="1:8" ht="15" x14ac:dyDescent="0.25">
      <c r="A128" s="296" t="s">
        <v>184</v>
      </c>
      <c r="B128" s="206"/>
      <c r="C128" s="241"/>
      <c r="D128" s="250"/>
      <c r="E128" s="207"/>
      <c r="F128" s="242"/>
      <c r="G128" s="45"/>
      <c r="H128" s="45"/>
    </row>
    <row r="129" spans="1:8" ht="15" x14ac:dyDescent="0.25">
      <c r="A129" s="166"/>
      <c r="B129" s="161"/>
      <c r="C129" s="243"/>
      <c r="D129" s="251"/>
      <c r="E129" s="208"/>
      <c r="F129" s="244"/>
      <c r="G129" s="45"/>
      <c r="H129" s="45"/>
    </row>
    <row r="130" spans="1:8" ht="15" x14ac:dyDescent="0.25">
      <c r="A130" s="166"/>
      <c r="B130" s="161"/>
      <c r="C130" s="243"/>
      <c r="D130" s="251"/>
      <c r="E130" s="208"/>
      <c r="F130" s="244"/>
      <c r="G130" s="45"/>
      <c r="H130" s="45"/>
    </row>
    <row r="131" spans="1:8" ht="18" x14ac:dyDescent="0.25">
      <c r="A131" s="298" t="s">
        <v>28</v>
      </c>
      <c r="B131" s="298"/>
      <c r="C131" s="298"/>
      <c r="D131" s="298"/>
      <c r="E131" s="298"/>
      <c r="F131" s="298"/>
      <c r="G131" s="298"/>
      <c r="H131" s="298"/>
    </row>
    <row r="132" spans="1:8" x14ac:dyDescent="0.2">
      <c r="A132" s="7"/>
      <c r="B132" s="7"/>
      <c r="C132" s="11" t="s">
        <v>24</v>
      </c>
      <c r="D132" s="12" t="str">
        <f>IF(FP="FP-03","FP-03","FP-14")</f>
        <v>FP-14</v>
      </c>
      <c r="E132" s="8"/>
      <c r="F132" s="9"/>
      <c r="G132" s="9"/>
      <c r="H132" s="9"/>
    </row>
    <row r="133" spans="1:8" x14ac:dyDescent="0.2">
      <c r="A133" s="7"/>
      <c r="B133" s="7"/>
      <c r="C133" s="7"/>
      <c r="D133" s="10"/>
      <c r="E133" s="8"/>
      <c r="F133" s="9"/>
      <c r="G133" s="9"/>
      <c r="H133" s="9"/>
    </row>
    <row r="134" spans="1:8" x14ac:dyDescent="0.2">
      <c r="A134" s="11" t="s">
        <v>3</v>
      </c>
      <c r="B134" s="294" t="str">
        <f>+B4</f>
        <v>Enter Project Number</v>
      </c>
      <c r="C134" s="294"/>
      <c r="D134" s="12"/>
      <c r="E134" s="12"/>
      <c r="F134" s="13"/>
      <c r="G134" s="14" t="s">
        <v>5</v>
      </c>
      <c r="H134" s="15">
        <f ca="1" xml:space="preserve"> TODAY()</f>
        <v>43503</v>
      </c>
    </row>
    <row r="135" spans="1:8" ht="5.25" customHeight="1" x14ac:dyDescent="0.2">
      <c r="A135" s="11"/>
      <c r="B135" s="294"/>
      <c r="C135" s="294"/>
      <c r="D135" s="12"/>
      <c r="E135" s="12"/>
      <c r="F135" s="13"/>
      <c r="G135" s="14"/>
      <c r="H135" s="15"/>
    </row>
    <row r="136" spans="1:8" x14ac:dyDescent="0.2">
      <c r="A136" s="11" t="s">
        <v>4</v>
      </c>
      <c r="B136" s="303" t="str">
        <f>+B6</f>
        <v>Enter Project name</v>
      </c>
      <c r="C136" s="303"/>
      <c r="D136" s="303"/>
      <c r="E136" s="303"/>
      <c r="F136" s="303"/>
      <c r="G136" s="14" t="str">
        <f>+G6</f>
        <v xml:space="preserve">Option: </v>
      </c>
      <c r="H136" s="17" t="str">
        <f>+H6</f>
        <v>Y</v>
      </c>
    </row>
    <row r="137" spans="1:8" x14ac:dyDescent="0.2">
      <c r="A137" s="7"/>
      <c r="B137" s="7"/>
      <c r="C137" s="7"/>
      <c r="D137" s="8"/>
      <c r="E137" s="8"/>
      <c r="F137" s="9"/>
      <c r="G137" s="14" t="s">
        <v>8</v>
      </c>
      <c r="H137" s="13" t="str">
        <f>+Units</f>
        <v>US CUSTOMARY</v>
      </c>
    </row>
    <row r="138" spans="1:8" ht="6.75" customHeight="1" thickBot="1" x14ac:dyDescent="0.25">
      <c r="A138" s="7"/>
      <c r="B138" s="7"/>
      <c r="C138" s="7"/>
      <c r="D138" s="8"/>
      <c r="E138" s="8"/>
      <c r="F138" s="9"/>
      <c r="G138" s="14"/>
      <c r="H138" s="13"/>
    </row>
    <row r="139" spans="1:8" ht="19.5" customHeight="1" thickBot="1" x14ac:dyDescent="0.25">
      <c r="A139" s="231" t="s">
        <v>151</v>
      </c>
      <c r="B139" s="232"/>
      <c r="C139" s="232"/>
      <c r="D139" s="232"/>
      <c r="E139" s="232"/>
      <c r="F139" s="232"/>
      <c r="G139" s="232"/>
      <c r="H139" s="233"/>
    </row>
    <row r="140" spans="1:8" ht="5.25" customHeight="1" x14ac:dyDescent="0.2">
      <c r="A140" s="18"/>
      <c r="B140" s="44"/>
      <c r="C140" s="44"/>
      <c r="D140" s="45"/>
      <c r="E140" s="46"/>
      <c r="F140" s="45"/>
      <c r="G140" s="45"/>
      <c r="H140" s="45"/>
    </row>
    <row r="141" spans="1:8" ht="24" customHeight="1" x14ac:dyDescent="0.2">
      <c r="A141" s="312" t="str">
        <f>IF(FP="FP-03","Section 416 - Continuous Cold Recycled Asphalt Base Course","Section 405 - Open-Graded Asphalt Friction")</f>
        <v>Section 405 - Open-Graded Asphalt Friction</v>
      </c>
      <c r="B141" s="313"/>
      <c r="C141" s="79" t="s">
        <v>89</v>
      </c>
      <c r="D141" s="82" t="str">
        <f>IF(Units="US CUSTOMARY", (VLOOKUP(A141,'VLookup table'!A42:G50,4)),(VLOOKUP(A141,'VLookup table'!A42:G50,5)))</f>
        <v>Tons</v>
      </c>
      <c r="E141" s="72"/>
      <c r="F141" s="78" t="s">
        <v>32</v>
      </c>
      <c r="G141" s="45"/>
      <c r="H141" s="45"/>
    </row>
    <row r="142" spans="1:8" ht="15" x14ac:dyDescent="0.2">
      <c r="A142" s="70" t="str">
        <f>IF(FP="FP-03","41601","40501")</f>
        <v>40501</v>
      </c>
      <c r="B142" s="71" t="str">
        <f>IF(FP="FP-03","Continuous cold recylced aphalt base","Open-graded asphalt friction course")</f>
        <v>Open-graded asphalt friction course</v>
      </c>
      <c r="C142" s="245">
        <f>IF(Units="US CUSTOMARY",(VLOOKUP(A141,'VLookup table'!A42:G50,6)),(VLOOKUP(A141,'VLookup table'!A42:G50,7)))</f>
        <v>2.4</v>
      </c>
      <c r="D142" s="75"/>
      <c r="E142" s="73"/>
      <c r="F142" s="246" t="str">
        <f>IF(ISNUMBER(D142),+C$142*D142, "-")</f>
        <v>-</v>
      </c>
      <c r="G142" s="152"/>
      <c r="H142" s="45"/>
    </row>
    <row r="143" spans="1:8" ht="26.25" customHeight="1" x14ac:dyDescent="0.2">
      <c r="A143" s="312" t="str">
        <f>IF(FP="FP-03","Section 418 - Foamed Asphalt Stabilized Base - not in FP (in SCRs)","Not applicable")</f>
        <v>Not applicable</v>
      </c>
      <c r="B143" s="314"/>
      <c r="C143" s="162" t="s">
        <v>89</v>
      </c>
      <c r="D143" s="163" t="e">
        <f>IF(Units="US CUSTOMARY", (VLOOKUP(A143,'VLookup table'!A49:G54,4)),(VLOOKUP(A143,'VLookup table'!A49:G54,5)))</f>
        <v>#N/A</v>
      </c>
      <c r="E143" s="164"/>
      <c r="F143" s="165" t="s">
        <v>32</v>
      </c>
      <c r="G143" s="152"/>
      <c r="H143" s="45"/>
    </row>
    <row r="144" spans="1:8" ht="15" x14ac:dyDescent="0.2">
      <c r="A144" s="70" t="str">
        <f>IF(FP="FP-03","41801","")</f>
        <v/>
      </c>
      <c r="B144" s="71" t="str">
        <f>IF(FP="FP-03","Foamed asphalt stabilized base course","")</f>
        <v/>
      </c>
      <c r="C144" s="245" t="e">
        <f>IF(Units="US CUSTOMARY",(VLOOKUP(A143,'VLookup table'!A49:G53,6)),(VLOOKUP(A143,'VLookup table'!A49:G53,7)))</f>
        <v>#N/A</v>
      </c>
      <c r="D144" s="75"/>
      <c r="E144" s="73"/>
      <c r="F144" s="246" t="str">
        <f>IF(ISNUMBER(D144),+C$144*D144, "-")</f>
        <v>-</v>
      </c>
      <c r="G144" s="152"/>
      <c r="H144" s="49"/>
    </row>
    <row r="145" spans="1:8" x14ac:dyDescent="0.2">
      <c r="A145" s="68" t="str">
        <f>IF(FP="FP-03","Section 501 - Rigid pavement","Not applicable")</f>
        <v>Not applicable</v>
      </c>
      <c r="B145" s="69"/>
      <c r="C145" s="79" t="s">
        <v>89</v>
      </c>
      <c r="D145" s="82" t="e">
        <f>IF(Units="US CUSTOMARY", (VLOOKUP(A146,'VLookup table'!A54:G56,4)),(VLOOKUP(A146,'VLookup table'!A54:G56,5)))</f>
        <v>#N/A</v>
      </c>
      <c r="E145" s="72"/>
      <c r="F145" s="78" t="s">
        <v>32</v>
      </c>
      <c r="G145" s="50"/>
      <c r="H145" s="51"/>
    </row>
    <row r="146" spans="1:8" x14ac:dyDescent="0.2">
      <c r="A146" s="199" t="str">
        <f>IF(FP="FP-03","50101","")</f>
        <v/>
      </c>
      <c r="B146" s="191" t="str">
        <f>IF(FP="FP-03","Reinforced rigid pavement","")</f>
        <v/>
      </c>
      <c r="C146" s="304" t="e">
        <f>IF(Units="US CUSTOMARY",(VLOOKUP(A146,'VLookup table'!A54:G56,6)),(VLOOKUP(A146,'VLookup table'!A54:G56,7)))</f>
        <v>#N/A</v>
      </c>
      <c r="D146" s="200"/>
      <c r="E146" s="201"/>
      <c r="F146" s="240" t="str">
        <f>IF(ISNUMBER(D146),+C$146*D146, "-")</f>
        <v>-</v>
      </c>
      <c r="G146" s="50"/>
      <c r="H146" s="51"/>
    </row>
    <row r="147" spans="1:8" x14ac:dyDescent="0.2">
      <c r="A147" s="199" t="str">
        <f>IF(FP="FP-03","50102","")</f>
        <v/>
      </c>
      <c r="B147" s="191" t="str">
        <f>IF(FP="FP-03","Plain rigid pavement","")</f>
        <v/>
      </c>
      <c r="C147" s="305"/>
      <c r="D147" s="200"/>
      <c r="E147" s="201"/>
      <c r="F147" s="240" t="str">
        <f>IF(ISNUMBER(D147),+C$146*D147, "-")</f>
        <v>-</v>
      </c>
      <c r="G147" s="50"/>
      <c r="H147" s="51"/>
    </row>
    <row r="148" spans="1:8" x14ac:dyDescent="0.2">
      <c r="A148" s="47"/>
      <c r="B148" s="47"/>
      <c r="C148" s="47"/>
      <c r="D148" s="48"/>
      <c r="E148" s="48"/>
      <c r="F148" s="49"/>
      <c r="G148" s="49"/>
      <c r="H148" s="49"/>
    </row>
    <row r="149" spans="1:8" x14ac:dyDescent="0.2">
      <c r="A149" s="47"/>
      <c r="B149" s="47"/>
      <c r="C149" s="47"/>
      <c r="D149" s="48"/>
      <c r="E149" s="48"/>
      <c r="F149" s="49"/>
      <c r="G149" s="49"/>
      <c r="H149" s="49"/>
    </row>
    <row r="150" spans="1:8" x14ac:dyDescent="0.2">
      <c r="A150" s="209"/>
      <c r="B150" s="216"/>
      <c r="C150" s="217"/>
      <c r="D150" s="218" t="s">
        <v>144</v>
      </c>
      <c r="E150" s="217"/>
      <c r="F150" s="219">
        <f>SUM(F78:F127)+SUM(F141:F147)</f>
        <v>0</v>
      </c>
      <c r="G150" s="18"/>
      <c r="H150" s="18"/>
    </row>
    <row r="151" spans="1:8" ht="4.5" customHeight="1" x14ac:dyDescent="0.2">
      <c r="A151" s="18"/>
      <c r="B151" s="220"/>
      <c r="C151" s="44"/>
      <c r="D151" s="46"/>
      <c r="E151" s="46"/>
      <c r="F151" s="221"/>
      <c r="G151" s="45"/>
      <c r="H151" s="45"/>
    </row>
    <row r="152" spans="1:8" x14ac:dyDescent="0.2">
      <c r="A152" s="18"/>
      <c r="B152" s="222"/>
      <c r="C152" s="47"/>
      <c r="D152" s="211" t="s">
        <v>140</v>
      </c>
      <c r="E152" s="52"/>
      <c r="F152" s="252"/>
      <c r="G152" s="45"/>
      <c r="H152" s="45"/>
    </row>
    <row r="153" spans="1:8" ht="7.5" customHeight="1" x14ac:dyDescent="0.2">
      <c r="A153" s="18"/>
      <c r="B153" s="223"/>
      <c r="C153" s="47"/>
      <c r="D153" s="215"/>
      <c r="E153" s="52"/>
      <c r="F153" s="221"/>
      <c r="G153" s="45"/>
      <c r="H153" s="45"/>
    </row>
    <row r="154" spans="1:8" x14ac:dyDescent="0.2">
      <c r="A154" s="18"/>
      <c r="B154" s="223"/>
      <c r="C154" s="47"/>
      <c r="D154" s="211" t="s">
        <v>141</v>
      </c>
      <c r="E154" s="52"/>
      <c r="F154" s="224" t="str">
        <f>IF(F152&lt;&gt;"",F152*1.6,"-")</f>
        <v>-</v>
      </c>
      <c r="G154" s="45"/>
      <c r="H154" s="45"/>
    </row>
    <row r="155" spans="1:8" ht="5.25" customHeight="1" x14ac:dyDescent="0.2">
      <c r="A155" s="18"/>
      <c r="B155" s="223"/>
      <c r="C155" s="47"/>
      <c r="D155" s="215"/>
      <c r="E155" s="52"/>
      <c r="F155" s="221"/>
      <c r="G155" s="45"/>
      <c r="H155" s="45"/>
    </row>
    <row r="156" spans="1:8" x14ac:dyDescent="0.2">
      <c r="A156" s="47"/>
      <c r="B156" s="223"/>
      <c r="C156" s="47"/>
      <c r="D156" s="212" t="s">
        <v>142</v>
      </c>
      <c r="E156" s="48"/>
      <c r="F156" s="225" t="str">
        <f>IF(F150&lt;&gt;0,(1.6-1.1)*(F150*F152),"-")</f>
        <v>-</v>
      </c>
      <c r="G156" s="49"/>
      <c r="H156" s="49"/>
    </row>
    <row r="157" spans="1:8" ht="7.5" customHeight="1" x14ac:dyDescent="0.2">
      <c r="A157" s="47"/>
      <c r="B157" s="223"/>
      <c r="C157" s="47"/>
      <c r="D157" s="48"/>
      <c r="E157" s="48"/>
      <c r="F157" s="221"/>
      <c r="G157" s="53"/>
      <c r="H157" s="54"/>
    </row>
    <row r="158" spans="1:8" x14ac:dyDescent="0.2">
      <c r="A158" s="47"/>
      <c r="B158" s="223"/>
      <c r="C158" s="47"/>
      <c r="D158" s="212" t="s">
        <v>143</v>
      </c>
      <c r="E158" s="48"/>
      <c r="F158" s="253"/>
      <c r="G158" s="53"/>
      <c r="H158" s="54"/>
    </row>
    <row r="159" spans="1:8" ht="6.75" customHeight="1" x14ac:dyDescent="0.2">
      <c r="A159" s="47"/>
      <c r="B159" s="223"/>
      <c r="C159" s="47"/>
      <c r="D159" s="48"/>
      <c r="E159" s="48"/>
      <c r="F159" s="221"/>
      <c r="G159" s="53"/>
      <c r="H159" s="54"/>
    </row>
    <row r="160" spans="1:8" ht="18.75" customHeight="1" x14ac:dyDescent="0.2">
      <c r="A160" s="47"/>
      <c r="B160" s="226"/>
      <c r="C160" s="227"/>
      <c r="D160" s="228" t="s">
        <v>145</v>
      </c>
      <c r="E160" s="229"/>
      <c r="F160" s="230" t="str">
        <f>IF(F158&lt;&gt;"",(F156*F158)/100,"$0.00")</f>
        <v>$0.00</v>
      </c>
      <c r="G160" s="53"/>
      <c r="H160" s="54"/>
    </row>
    <row r="161" spans="1:8" ht="18.75" customHeight="1" x14ac:dyDescent="0.2">
      <c r="A161" s="47"/>
      <c r="B161" s="47"/>
      <c r="C161" s="47"/>
      <c r="D161" s="213"/>
      <c r="E161" s="48"/>
      <c r="F161" s="214"/>
      <c r="G161" s="53"/>
      <c r="H161" s="54"/>
    </row>
    <row r="162" spans="1:8" ht="18.75" customHeight="1" x14ac:dyDescent="0.2">
      <c r="A162" s="47"/>
      <c r="B162" s="47"/>
      <c r="C162" s="47"/>
      <c r="D162" s="213"/>
      <c r="E162" s="48"/>
      <c r="F162" s="214"/>
      <c r="G162" s="53"/>
      <c r="H162" s="54"/>
    </row>
    <row r="163" spans="1:8" x14ac:dyDescent="0.2">
      <c r="A163" s="47"/>
      <c r="B163" s="47"/>
      <c r="C163" s="47"/>
      <c r="D163" s="48"/>
      <c r="E163" s="48"/>
      <c r="F163" s="49"/>
      <c r="G163" s="53"/>
      <c r="H163" s="54"/>
    </row>
    <row r="164" spans="1:8" ht="6.75" customHeight="1" thickBot="1" x14ac:dyDescent="0.25">
      <c r="A164" s="7"/>
      <c r="B164" s="7"/>
      <c r="C164" s="7"/>
      <c r="D164" s="8"/>
      <c r="E164" s="8"/>
      <c r="F164" s="9"/>
      <c r="G164" s="14"/>
      <c r="H164" s="13"/>
    </row>
    <row r="165" spans="1:8" ht="19.5" customHeight="1" thickBot="1" x14ac:dyDescent="0.25">
      <c r="A165" s="234" t="s">
        <v>146</v>
      </c>
      <c r="B165" s="235"/>
      <c r="C165" s="235"/>
      <c r="D165" s="235"/>
      <c r="E165" s="235"/>
      <c r="F165" s="235"/>
      <c r="G165" s="235"/>
      <c r="H165" s="236"/>
    </row>
    <row r="166" spans="1:8" ht="5.25" customHeight="1" x14ac:dyDescent="0.2">
      <c r="A166" s="18"/>
      <c r="B166" s="44"/>
      <c r="C166" s="44"/>
      <c r="D166" s="45"/>
      <c r="E166" s="46"/>
      <c r="F166" s="45"/>
      <c r="G166" s="45"/>
      <c r="H166" s="45"/>
    </row>
    <row r="167" spans="1:8" x14ac:dyDescent="0.2">
      <c r="A167" s="47"/>
      <c r="B167" s="216"/>
      <c r="C167" s="217"/>
      <c r="D167" s="218" t="s">
        <v>149</v>
      </c>
      <c r="E167" s="217"/>
      <c r="F167" s="254"/>
      <c r="G167" s="53"/>
      <c r="H167" s="54"/>
    </row>
    <row r="168" spans="1:8" x14ac:dyDescent="0.2">
      <c r="A168" s="47"/>
      <c r="B168" s="220"/>
      <c r="C168" s="44"/>
      <c r="D168" s="46"/>
      <c r="E168" s="46"/>
      <c r="F168" s="221"/>
      <c r="G168" s="53"/>
      <c r="H168" s="54"/>
    </row>
    <row r="169" spans="1:8" x14ac:dyDescent="0.2">
      <c r="A169" s="47"/>
      <c r="B169" s="222"/>
      <c r="C169" s="47"/>
      <c r="D169" s="211" t="s">
        <v>147</v>
      </c>
      <c r="E169" s="52"/>
      <c r="F169" s="252"/>
      <c r="G169" s="53"/>
      <c r="H169" s="54"/>
    </row>
    <row r="170" spans="1:8" x14ac:dyDescent="0.2">
      <c r="A170" s="47"/>
      <c r="B170" s="223"/>
      <c r="C170" s="47"/>
      <c r="D170" s="215"/>
      <c r="E170" s="52"/>
      <c r="F170" s="221"/>
      <c r="G170" s="53"/>
      <c r="H170" s="54"/>
    </row>
    <row r="171" spans="1:8" x14ac:dyDescent="0.2">
      <c r="A171" s="47"/>
      <c r="B171" s="223"/>
      <c r="C171" s="47"/>
      <c r="D171" s="211" t="s">
        <v>141</v>
      </c>
      <c r="E171" s="52"/>
      <c r="F171" s="224" t="str">
        <f>IF(F169&lt;&gt;"",F169*1.6,"-")</f>
        <v>-</v>
      </c>
      <c r="G171" s="53"/>
      <c r="H171" s="54"/>
    </row>
    <row r="172" spans="1:8" x14ac:dyDescent="0.2">
      <c r="A172" s="47"/>
      <c r="B172" s="223"/>
      <c r="C172" s="47"/>
      <c r="D172" s="215"/>
      <c r="E172" s="52"/>
      <c r="F172" s="221"/>
      <c r="G172" s="53"/>
      <c r="H172" s="54"/>
    </row>
    <row r="173" spans="1:8" x14ac:dyDescent="0.2">
      <c r="A173" s="47"/>
      <c r="B173" s="223"/>
      <c r="C173" s="47"/>
      <c r="D173" s="212" t="s">
        <v>148</v>
      </c>
      <c r="E173" s="48"/>
      <c r="F173" s="225" t="str">
        <f>IF(F167&lt;&gt;0,(1.6-1.1)*(F169)*(F167*0.06),"-")</f>
        <v>-</v>
      </c>
      <c r="G173" s="53"/>
      <c r="H173" s="54"/>
    </row>
    <row r="174" spans="1:8" x14ac:dyDescent="0.2">
      <c r="A174" s="47"/>
      <c r="B174" s="223"/>
      <c r="C174" s="47"/>
      <c r="D174" s="48"/>
      <c r="E174" s="48"/>
      <c r="F174" s="221"/>
      <c r="G174" s="53"/>
      <c r="H174" s="54"/>
    </row>
    <row r="175" spans="1:8" x14ac:dyDescent="0.2">
      <c r="A175" s="47"/>
      <c r="B175" s="223"/>
      <c r="C175" s="47"/>
      <c r="D175" s="212" t="s">
        <v>143</v>
      </c>
      <c r="E175" s="48"/>
      <c r="F175" s="253"/>
      <c r="G175" s="53"/>
      <c r="H175" s="54"/>
    </row>
    <row r="176" spans="1:8" x14ac:dyDescent="0.2">
      <c r="A176" s="47"/>
      <c r="B176" s="223"/>
      <c r="C176" s="47"/>
      <c r="D176" s="48"/>
      <c r="E176" s="48"/>
      <c r="F176" s="221"/>
      <c r="G176" s="53"/>
      <c r="H176" s="54"/>
    </row>
    <row r="177" spans="1:8" x14ac:dyDescent="0.2">
      <c r="A177" s="47"/>
      <c r="B177" s="226"/>
      <c r="C177" s="227"/>
      <c r="D177" s="228" t="s">
        <v>150</v>
      </c>
      <c r="E177" s="229"/>
      <c r="F177" s="230" t="str">
        <f>IF(F175&lt;&gt;"",(F173*F175)/100,"$0.00")</f>
        <v>$0.00</v>
      </c>
      <c r="G177" s="49"/>
      <c r="H177" s="49"/>
    </row>
    <row r="178" spans="1:8" x14ac:dyDescent="0.2">
      <c r="A178" s="47"/>
      <c r="B178" s="47"/>
      <c r="C178" s="47"/>
      <c r="D178" s="48"/>
      <c r="E178" s="48"/>
      <c r="F178" s="49"/>
      <c r="G178" s="49"/>
      <c r="H178" s="49"/>
    </row>
    <row r="179" spans="1:8" x14ac:dyDescent="0.2">
      <c r="A179" s="55"/>
      <c r="B179" s="56"/>
      <c r="C179" s="56"/>
      <c r="D179" s="48"/>
      <c r="E179" s="48"/>
      <c r="F179" s="49"/>
      <c r="G179" s="49"/>
      <c r="H179" s="49"/>
    </row>
    <row r="180" spans="1:8" x14ac:dyDescent="0.2">
      <c r="A180" s="56"/>
      <c r="B180" s="56"/>
      <c r="C180" s="56"/>
      <c r="D180" s="48"/>
      <c r="E180" s="48"/>
      <c r="F180" s="49"/>
      <c r="G180" s="49"/>
      <c r="H180" s="49"/>
    </row>
    <row r="181" spans="1:8" x14ac:dyDescent="0.2">
      <c r="A181" s="56"/>
      <c r="B181" s="56"/>
      <c r="C181" s="56"/>
      <c r="D181" s="48"/>
      <c r="E181" s="48"/>
      <c r="F181" s="49"/>
      <c r="G181" s="49"/>
      <c r="H181" s="49"/>
    </row>
    <row r="182" spans="1:8" x14ac:dyDescent="0.2">
      <c r="A182" s="55"/>
      <c r="B182" s="56"/>
      <c r="C182" s="56"/>
      <c r="D182" s="48"/>
      <c r="E182" s="48"/>
      <c r="F182" s="49"/>
      <c r="G182" s="49"/>
      <c r="H182" s="49"/>
    </row>
    <row r="183" spans="1:8" x14ac:dyDescent="0.2">
      <c r="A183" s="56"/>
      <c r="B183" s="56"/>
      <c r="C183" s="56"/>
      <c r="D183" s="48"/>
      <c r="E183" s="48"/>
      <c r="F183" s="49"/>
      <c r="G183" s="49"/>
      <c r="H183" s="49"/>
    </row>
    <row r="184" spans="1:8" x14ac:dyDescent="0.2">
      <c r="A184" s="56"/>
      <c r="B184" s="56"/>
      <c r="C184" s="56"/>
      <c r="D184" s="48"/>
      <c r="E184" s="48"/>
      <c r="F184" s="49"/>
      <c r="G184" s="49"/>
      <c r="H184" s="49"/>
    </row>
    <row r="185" spans="1:8" ht="22.5" customHeight="1" x14ac:dyDescent="0.2">
      <c r="A185" s="55"/>
      <c r="B185" s="56"/>
      <c r="C185" s="56"/>
      <c r="D185" s="48"/>
      <c r="E185" s="48"/>
      <c r="F185" s="49"/>
      <c r="G185" s="49"/>
      <c r="H185" s="49"/>
    </row>
  </sheetData>
  <sheetProtection sheet="1" objects="1" scenarios="1"/>
  <dataConsolidate/>
  <mergeCells count="25">
    <mergeCell ref="C146:C147"/>
    <mergeCell ref="C122:C123"/>
    <mergeCell ref="C125:C127"/>
    <mergeCell ref="A131:H131"/>
    <mergeCell ref="B136:F136"/>
    <mergeCell ref="A141:B141"/>
    <mergeCell ref="A143:B143"/>
    <mergeCell ref="A121:B121"/>
    <mergeCell ref="A51:G51"/>
    <mergeCell ref="A67:H67"/>
    <mergeCell ref="B72:F72"/>
    <mergeCell ref="C78:C87"/>
    <mergeCell ref="C89:C97"/>
    <mergeCell ref="C99:C100"/>
    <mergeCell ref="C102:C106"/>
    <mergeCell ref="C108:C110"/>
    <mergeCell ref="C112:C113"/>
    <mergeCell ref="C115:C117"/>
    <mergeCell ref="C119:C120"/>
    <mergeCell ref="A43:H43"/>
    <mergeCell ref="A1:H1"/>
    <mergeCell ref="B6:F6"/>
    <mergeCell ref="A10:H10"/>
    <mergeCell ref="A30:H30"/>
    <mergeCell ref="A38:G38"/>
  </mergeCells>
  <dataValidations disablePrompts="1" count="12">
    <dataValidation type="list" allowBlank="1" showInputMessage="1" showErrorMessage="1" sqref="G6">
      <formula1>", Schedule: , Option: "</formula1>
    </dataValidation>
    <dataValidation type="list" showInputMessage="1" showErrorMessage="1" error="Please use drop-down menu to select a schedule" promptTitle="Choose schedule" prompt="If you have multiple schedules, then copy addtional sheet tabs and calculate incevitves separately for each schedule._x000a__x000a_Sheets tabs can be copied by left clicking the acitve tab and choosing 'Move or Copy', then clicking the 'Create Copy' checkbox." sqref="H6">
      <formula1>"  , A, B, C, D, E, F, G, W, X, Y, Z"</formula1>
    </dataValidation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36 D128:D130">
      <formula1>0</formula1>
    </dataValidation>
    <dataValidation allowBlank="1" showInputMessage="1" showErrorMessage="1" promptTitle="Enter project number" prompt="Example:  CA FTNP JOTR 11(5)" sqref="B4:C4"/>
    <dataValidation allowBlank="1" showInputMessage="1" showErrorMessage="1" promptTitle="Enter project name" prompt="Example:  Pinto Basin Road" sqref="B6:F6"/>
    <dataValidation allowBlank="1" sqref="B70:C70 B134:C134"/>
    <dataValidation allowBlank="1" showErrorMessage="1" sqref="B81"/>
    <dataValidation type="whole" operator="greaterThanOrEqual" allowBlank="1" showInputMessage="1" showErrorMessage="1" error="Bid decimals set to zero._x000a__x000a_Contact Heidi Hirsbrunner (X3622)_x000a_                _x000a_to modify Incentive Spreadsheet." sqref="D13 D15 D17 D19 D33 D35 D21 D23 D25 D27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78:D87 D102:D106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89:D97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99:D100">
      <formula1>0</formula1>
    </dataValidation>
    <dataValidation type="whole" operator="greaterThanOrEqual" allowBlank="1" showInputMessage="1" showErrorMessage="1" error="Bid decimals set to zero._x000a__x000a_Contact Heidi Hirsbrunner (X3622)_x000a__x000a_to modify Incentive Spreadsheet." sqref="D108:D110 D112:D113 D115:D117 D119:D120 D122:D123 D125:D127 D142 D144 D146:D147">
      <formula1>0</formula1>
    </dataValidation>
  </dataValidations>
  <printOptions horizontalCentered="1"/>
  <pageMargins left="0.7" right="0.7" top="0.75" bottom="0.75" header="0.3" footer="0.3"/>
  <pageSetup scale="81" fitToHeight="2" orientation="portrait" r:id="rId1"/>
  <headerFooter>
    <oddFooter>&amp;RRev. 02-08-2019</oddFooter>
  </headerFooter>
  <rowBreaks count="1" manualBreakCount="1">
    <brk id="66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K185"/>
  <sheetViews>
    <sheetView zoomScaleNormal="100"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8" customWidth="1"/>
    <col min="5" max="5" width="1.7109375" style="38" customWidth="1"/>
    <col min="6" max="6" width="12.42578125" style="39" customWidth="1"/>
    <col min="7" max="7" width="14.42578125" style="39" customWidth="1"/>
    <col min="8" max="8" width="16.7109375" style="39" bestFit="1" customWidth="1"/>
    <col min="9" max="16384" width="9.140625" style="6"/>
  </cols>
  <sheetData>
    <row r="1" spans="1:8" ht="18" x14ac:dyDescent="0.25">
      <c r="A1" s="298" t="s">
        <v>26</v>
      </c>
      <c r="B1" s="298"/>
      <c r="C1" s="298"/>
      <c r="D1" s="298"/>
      <c r="E1" s="298"/>
      <c r="F1" s="298"/>
      <c r="G1" s="298"/>
      <c r="H1" s="298"/>
    </row>
    <row r="2" spans="1:8" ht="15" x14ac:dyDescent="0.2">
      <c r="A2" s="7"/>
      <c r="B2" s="7"/>
      <c r="C2" s="11" t="s">
        <v>24</v>
      </c>
      <c r="D2" s="256" t="str">
        <f>+Sheet1!D2</f>
        <v>FP-14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294" t="str">
        <f>+Sheet1!B4</f>
        <v>Enter Project Number</v>
      </c>
      <c r="C4" s="294"/>
      <c r="D4" s="12"/>
      <c r="E4" s="12"/>
      <c r="F4" s="13"/>
      <c r="G4" s="14" t="s">
        <v>5</v>
      </c>
      <c r="H4" s="15">
        <f ca="1" xml:space="preserve"> TODAY()</f>
        <v>43503</v>
      </c>
    </row>
    <row r="5" spans="1:8" ht="6" customHeight="1" x14ac:dyDescent="0.2">
      <c r="A5" s="11"/>
      <c r="B5" s="294"/>
      <c r="C5" s="294"/>
      <c r="D5" s="12"/>
      <c r="E5" s="12"/>
      <c r="F5" s="13"/>
      <c r="G5" s="14"/>
      <c r="H5" s="15"/>
    </row>
    <row r="6" spans="1:8" ht="15" x14ac:dyDescent="0.2">
      <c r="A6" s="11" t="s">
        <v>4</v>
      </c>
      <c r="B6" s="303" t="str">
        <f>+Sheet1!B6</f>
        <v>Enter Project name</v>
      </c>
      <c r="C6" s="303">
        <f>+Sheet1!C6</f>
        <v>0</v>
      </c>
      <c r="D6" s="303">
        <f>+Sheet1!D6</f>
        <v>0</v>
      </c>
      <c r="E6" s="303">
        <f>+Sheet1!E6</f>
        <v>0</v>
      </c>
      <c r="F6" s="303">
        <f>+Sheet1!F6</f>
        <v>0</v>
      </c>
      <c r="G6" s="258" t="s">
        <v>178</v>
      </c>
      <c r="H6" s="1" t="s">
        <v>181</v>
      </c>
    </row>
    <row r="7" spans="1:8" ht="6" customHeight="1" x14ac:dyDescent="0.2">
      <c r="A7" s="11"/>
      <c r="B7" s="294"/>
      <c r="C7" s="294"/>
      <c r="D7" s="294"/>
      <c r="E7" s="294"/>
      <c r="F7" s="294"/>
      <c r="G7" s="14"/>
      <c r="H7" s="17"/>
    </row>
    <row r="8" spans="1:8" ht="15" x14ac:dyDescent="0.2">
      <c r="A8" s="7"/>
      <c r="B8" s="7"/>
      <c r="C8" s="7"/>
      <c r="D8" s="8"/>
      <c r="E8" s="8"/>
      <c r="F8" s="9"/>
      <c r="G8" s="14" t="s">
        <v>8</v>
      </c>
      <c r="H8" s="256" t="str">
        <f>+Sheet1!H8</f>
        <v>US CUSTOMARY</v>
      </c>
    </row>
    <row r="9" spans="1:8" ht="13.5" thickBot="1" x14ac:dyDescent="0.25">
      <c r="A9" s="7"/>
      <c r="B9" s="7"/>
      <c r="C9" s="7"/>
      <c r="D9" s="8"/>
      <c r="E9" s="8"/>
      <c r="F9" s="9"/>
      <c r="G9" s="14"/>
      <c r="H9" s="13"/>
    </row>
    <row r="10" spans="1:8" ht="18.75" thickBot="1" x14ac:dyDescent="0.25">
      <c r="A10" s="300" t="s">
        <v>15</v>
      </c>
      <c r="B10" s="300"/>
      <c r="C10" s="300"/>
      <c r="D10" s="300"/>
      <c r="E10" s="300"/>
      <c r="F10" s="300"/>
      <c r="G10" s="300"/>
      <c r="H10" s="300"/>
    </row>
    <row r="11" spans="1:8" x14ac:dyDescent="0.2">
      <c r="A11" s="18" t="s">
        <v>13</v>
      </c>
      <c r="B11" s="18"/>
      <c r="C11" s="18"/>
      <c r="D11" s="18" t="s">
        <v>11</v>
      </c>
      <c r="E11" s="18"/>
      <c r="F11" s="18"/>
      <c r="G11" s="18"/>
      <c r="H11" s="18"/>
    </row>
    <row r="12" spans="1:8" ht="13.5" thickBot="1" x14ac:dyDescent="0.25">
      <c r="A12" s="19" t="s">
        <v>14</v>
      </c>
      <c r="B12" s="20" t="s">
        <v>7</v>
      </c>
      <c r="C12" s="20"/>
      <c r="D12" s="21" t="str">
        <f>IF(Units="US CUSTOMARY"," (Ton or SY)"," (tonnes or m2)")</f>
        <v xml:space="preserve"> (Ton or SY)</v>
      </c>
      <c r="E12" s="22"/>
      <c r="F12" s="21" t="s">
        <v>0</v>
      </c>
      <c r="G12" s="21" t="str">
        <f>"Q_"&amp;IF(Units="US CUSTOMARY","Ton","t")&amp;" Unit Price"</f>
        <v>Q_Ton Unit Price</v>
      </c>
      <c r="H12" s="21" t="s">
        <v>1</v>
      </c>
    </row>
    <row r="13" spans="1:8" ht="13.5" thickTop="1" x14ac:dyDescent="0.2">
      <c r="A13" s="23" t="str">
        <f>IF(FP="FP-03","301","301")</f>
        <v>301</v>
      </c>
      <c r="B13" s="24" t="str">
        <f>IF(FP="FP-03","Untreated Aggregate Courses","Untreated Aggregate Courses")</f>
        <v>Untreated Aggregate Courses</v>
      </c>
      <c r="C13" s="24"/>
      <c r="D13" s="3"/>
      <c r="E13" s="247"/>
      <c r="F13" s="4"/>
      <c r="G13" s="26" t="str">
        <f>IF(ISNUMBER(F13),ROUND(F13*0.05,2),"-")</f>
        <v>-</v>
      </c>
      <c r="H13" s="26" t="str">
        <f>IF(AND(ISNUMBER(D13),ISNUMBER(F13)),D13*G13,"-")</f>
        <v>-</v>
      </c>
    </row>
    <row r="14" spans="1:8" ht="6" customHeight="1" x14ac:dyDescent="0.2">
      <c r="A14" s="23"/>
      <c r="B14" s="24"/>
      <c r="C14" s="24"/>
      <c r="D14" s="247"/>
      <c r="E14" s="247"/>
      <c r="F14" s="248"/>
      <c r="G14" s="26"/>
      <c r="H14" s="26"/>
    </row>
    <row r="15" spans="1:8" x14ac:dyDescent="0.2">
      <c r="A15" s="23" t="str">
        <f>IF(FP="FP-03","302","309")</f>
        <v>309</v>
      </c>
      <c r="B15" s="24" t="str">
        <f>IF(FP="FP-03","Treated Aggregate Courses","Emulsified Asphalt-Treated Base Course")</f>
        <v>Emulsified Asphalt-Treated Base Course</v>
      </c>
      <c r="C15" s="24"/>
      <c r="D15" s="3"/>
      <c r="E15" s="247"/>
      <c r="F15" s="4"/>
      <c r="G15" s="26" t="str">
        <f>IF(ISNUMBER(F15),ROUND(F15*0.05,2),"-")</f>
        <v>-</v>
      </c>
      <c r="H15" s="26" t="str">
        <f>IF(AND(ISNUMBER(D15),ISNUMBER(F15)),D15*G15,"-")</f>
        <v>-</v>
      </c>
    </row>
    <row r="16" spans="1:8" ht="6" customHeight="1" x14ac:dyDescent="0.2">
      <c r="A16" s="23"/>
      <c r="B16" s="24"/>
      <c r="C16" s="24"/>
      <c r="D16" s="247"/>
      <c r="E16" s="247"/>
      <c r="F16" s="248"/>
      <c r="G16" s="26"/>
      <c r="H16" s="26"/>
    </row>
    <row r="17" spans="1:11" x14ac:dyDescent="0.2">
      <c r="A17" s="23" t="str">
        <f>IF(FP="FP-03","304","311")</f>
        <v>311</v>
      </c>
      <c r="B17" s="24" t="str">
        <f>IF(FP="FP-03","Aggregate Stabiliation","Stabilized Aggregate Surface Course")</f>
        <v>Stabilized Aggregate Surface Course</v>
      </c>
      <c r="C17" s="24"/>
      <c r="D17" s="3"/>
      <c r="E17" s="247"/>
      <c r="F17" s="4"/>
      <c r="G17" s="26" t="str">
        <f t="shared" ref="G17:G19" si="0">IF(ISNUMBER(F17),ROUND(F17*0.05,2),"-")</f>
        <v>-</v>
      </c>
      <c r="H17" s="26" t="str">
        <f>IF(AND(ISNUMBER(D17),ISNUMBER(F17)),D17*G17,"-")</f>
        <v>-</v>
      </c>
    </row>
    <row r="18" spans="1:11" ht="6" customHeight="1" x14ac:dyDescent="0.2">
      <c r="A18" s="23"/>
      <c r="B18" s="24"/>
      <c r="C18" s="24"/>
      <c r="D18" s="247"/>
      <c r="E18" s="247"/>
      <c r="F18" s="248"/>
      <c r="G18" s="26"/>
      <c r="H18" s="26"/>
    </row>
    <row r="19" spans="1:11" x14ac:dyDescent="0.2">
      <c r="A19" s="23" t="str">
        <f>IF(FP="FP-03","309","405")</f>
        <v>405</v>
      </c>
      <c r="B19" s="24" t="str">
        <f>IF(FP="FP-03","Emulsified ATB Course","Open-Graded Asphalt Friction Course")</f>
        <v>Open-Graded Asphalt Friction Course</v>
      </c>
      <c r="C19" s="24"/>
      <c r="D19" s="3"/>
      <c r="E19" s="247"/>
      <c r="F19" s="4"/>
      <c r="G19" s="26" t="str">
        <f t="shared" si="0"/>
        <v>-</v>
      </c>
      <c r="H19" s="26" t="str">
        <f>IF(AND(ISNUMBER(D19),ISNUMBER(F19)),D19*G19,"-")</f>
        <v>-</v>
      </c>
    </row>
    <row r="20" spans="1:11" ht="6" customHeight="1" x14ac:dyDescent="0.2">
      <c r="A20" s="23"/>
      <c r="B20" s="24"/>
      <c r="C20" s="24"/>
      <c r="D20" s="247"/>
      <c r="E20" s="247"/>
      <c r="F20" s="248"/>
      <c r="G20" s="26"/>
      <c r="H20" s="26"/>
    </row>
    <row r="21" spans="1:11" x14ac:dyDescent="0.2">
      <c r="A21" s="23" t="str">
        <f>IF(FP="FP-03","405","407")</f>
        <v>407</v>
      </c>
      <c r="B21" s="24" t="str">
        <f>IF(FP="FP-03","Open-Graded Asphalt Friction Course","Chip Seal")</f>
        <v>Chip Seal</v>
      </c>
      <c r="C21" s="24"/>
      <c r="D21" s="3"/>
      <c r="E21" s="247"/>
      <c r="F21" s="4"/>
      <c r="G21" s="26" t="str">
        <f t="shared" ref="G21:G23" si="1">IF(ISNUMBER(F21),ROUND(F21*0.05,2),"-")</f>
        <v>-</v>
      </c>
      <c r="H21" s="26" t="str">
        <f>IF(AND(ISNUMBER(D21),ISNUMBER(F21)),D21*G21,"-")</f>
        <v>-</v>
      </c>
    </row>
    <row r="22" spans="1:11" ht="6" customHeight="1" x14ac:dyDescent="0.2">
      <c r="A22" s="23"/>
      <c r="B22" s="24"/>
      <c r="C22" s="24"/>
      <c r="D22" s="247"/>
      <c r="E22" s="247"/>
      <c r="F22" s="248"/>
      <c r="G22" s="26"/>
      <c r="H22" s="26"/>
    </row>
    <row r="23" spans="1:11" x14ac:dyDescent="0.2">
      <c r="A23" s="23" t="str">
        <f>IF(FP="FP-03","409","-")</f>
        <v>-</v>
      </c>
      <c r="B23" s="24" t="str">
        <f>IF(FP="FP-03","Asphalt Surface Treatment","                         -")</f>
        <v xml:space="preserve">                         -</v>
      </c>
      <c r="C23" s="24"/>
      <c r="D23" s="3"/>
      <c r="E23" s="247"/>
      <c r="F23" s="4"/>
      <c r="G23" s="26" t="str">
        <f t="shared" si="1"/>
        <v>-</v>
      </c>
      <c r="H23" s="26" t="str">
        <f>IF(AND(ISNUMBER(D23),ISNUMBER(F23)),D23*G23,"-")</f>
        <v>-</v>
      </c>
    </row>
    <row r="24" spans="1:11" ht="6" customHeight="1" x14ac:dyDescent="0.2">
      <c r="A24" s="23"/>
      <c r="B24" s="24"/>
      <c r="C24" s="24"/>
      <c r="D24" s="247"/>
      <c r="E24" s="247"/>
      <c r="F24" s="248"/>
      <c r="G24" s="26"/>
      <c r="H24" s="26"/>
    </row>
    <row r="25" spans="1:11" x14ac:dyDescent="0.2">
      <c r="A25" s="23"/>
      <c r="B25" s="24"/>
      <c r="C25" s="24"/>
      <c r="D25" s="247"/>
      <c r="E25" s="247"/>
      <c r="F25" s="248"/>
      <c r="G25" s="26"/>
      <c r="H25" s="26"/>
    </row>
    <row r="26" spans="1:11" ht="6" customHeight="1" x14ac:dyDescent="0.2">
      <c r="A26" s="23"/>
      <c r="B26" s="24"/>
      <c r="C26" s="24"/>
      <c r="D26" s="247"/>
      <c r="E26" s="247"/>
      <c r="F26" s="248"/>
      <c r="G26" s="26"/>
      <c r="H26" s="26"/>
    </row>
    <row r="27" spans="1:11" x14ac:dyDescent="0.2">
      <c r="A27" s="23"/>
      <c r="B27" s="24"/>
      <c r="C27" s="24"/>
      <c r="D27" s="247"/>
      <c r="E27" s="247"/>
      <c r="F27" s="248"/>
      <c r="G27" s="26"/>
      <c r="H27" s="26"/>
    </row>
    <row r="28" spans="1:11" x14ac:dyDescent="0.2">
      <c r="A28" s="23"/>
      <c r="B28" s="24"/>
      <c r="C28" s="24"/>
      <c r="D28" s="25"/>
      <c r="E28" s="25"/>
      <c r="F28" s="27"/>
      <c r="G28" s="26"/>
      <c r="H28" s="26"/>
    </row>
    <row r="29" spans="1:11" ht="13.5" thickBot="1" x14ac:dyDescent="0.25">
      <c r="A29" s="7"/>
      <c r="B29" s="7"/>
      <c r="C29" s="7"/>
      <c r="D29" s="8"/>
      <c r="E29" s="8"/>
      <c r="F29" s="9"/>
      <c r="G29" s="9"/>
      <c r="H29" s="9"/>
    </row>
    <row r="30" spans="1:11" ht="18.75" thickBot="1" x14ac:dyDescent="0.25">
      <c r="A30" s="300" t="s">
        <v>16</v>
      </c>
      <c r="B30" s="300"/>
      <c r="C30" s="300"/>
      <c r="D30" s="300"/>
      <c r="E30" s="300"/>
      <c r="F30" s="300"/>
      <c r="G30" s="300"/>
      <c r="H30" s="300"/>
      <c r="K30" s="28"/>
    </row>
    <row r="31" spans="1:11" x14ac:dyDescent="0.2">
      <c r="A31" s="29" t="s">
        <v>13</v>
      </c>
      <c r="B31" s="29"/>
      <c r="C31" s="18"/>
      <c r="D31" s="18" t="s">
        <v>11</v>
      </c>
      <c r="E31" s="29"/>
      <c r="F31" s="29"/>
      <c r="G31" s="29"/>
      <c r="H31" s="29"/>
      <c r="K31" s="28"/>
    </row>
    <row r="32" spans="1:11" ht="13.5" thickBot="1" x14ac:dyDescent="0.25">
      <c r="A32" s="19" t="s">
        <v>14</v>
      </c>
      <c r="B32" s="20" t="s">
        <v>7</v>
      </c>
      <c r="C32" s="20"/>
      <c r="D32" s="21" t="str">
        <f>IF(Units="US CUSTOMARY"," (Ton or SY)"," (tonnes or m2)")</f>
        <v xml:space="preserve"> (Ton or SY)</v>
      </c>
      <c r="E32" s="22"/>
      <c r="F32" s="21" t="s">
        <v>0</v>
      </c>
      <c r="G32" s="21" t="str">
        <f>"Q_"&amp;IF(Units="US CUSTOMARY","Ton","t")&amp;" Unit Price"</f>
        <v>Q_Ton Unit Price</v>
      </c>
      <c r="H32" s="21" t="s">
        <v>1</v>
      </c>
    </row>
    <row r="33" spans="1:8" ht="13.5" thickTop="1" x14ac:dyDescent="0.2">
      <c r="A33" s="23">
        <v>401</v>
      </c>
      <c r="B33" s="24" t="s">
        <v>2</v>
      </c>
      <c r="C33" s="24"/>
      <c r="D33" s="3"/>
      <c r="E33" s="247"/>
      <c r="F33" s="4"/>
      <c r="G33" s="26" t="str">
        <f>IF(ISNUMBER(F33),ROUND(F33*0.06,2),"-")</f>
        <v>-</v>
      </c>
      <c r="H33" s="26" t="str">
        <f>IF(AND(ISNUMBER(D33),ISNUMBER(F33)),D33*G33,"-")</f>
        <v>-</v>
      </c>
    </row>
    <row r="34" spans="1:8" ht="6" customHeight="1" x14ac:dyDescent="0.2">
      <c r="A34" s="23"/>
      <c r="B34" s="24"/>
      <c r="C34" s="24"/>
      <c r="D34" s="247"/>
      <c r="E34" s="247"/>
      <c r="F34" s="248"/>
      <c r="G34" s="26"/>
      <c r="H34" s="26"/>
    </row>
    <row r="35" spans="1:8" x14ac:dyDescent="0.2">
      <c r="A35" s="23">
        <v>402</v>
      </c>
      <c r="B35" s="24" t="str">
        <f>IF(FP="FP-03","Hot ACP By Hveem or Marshall Mix Design","ACP By Hveem or Marshall Mix Design")</f>
        <v>ACP By Hveem or Marshall Mix Design</v>
      </c>
      <c r="C35" s="24"/>
      <c r="D35" s="3"/>
      <c r="E35" s="247"/>
      <c r="F35" s="4"/>
      <c r="G35" s="26" t="str">
        <f>IF(ISNUMBER(F35),ROUND(F35*0.06,2),"-")</f>
        <v>-</v>
      </c>
      <c r="H35" s="26" t="str">
        <f>IF(AND(ISNUMBER(D35),ISNUMBER(F35)),D35*G35,"-")</f>
        <v>-</v>
      </c>
    </row>
    <row r="36" spans="1:8" x14ac:dyDescent="0.2">
      <c r="A36" s="23"/>
      <c r="B36" s="24"/>
      <c r="C36" s="24"/>
      <c r="D36" s="25"/>
      <c r="E36" s="25"/>
      <c r="F36" s="27"/>
      <c r="G36" s="26"/>
      <c r="H36" s="26"/>
    </row>
    <row r="37" spans="1:8" x14ac:dyDescent="0.2">
      <c r="A37" s="7"/>
      <c r="B37" s="7"/>
      <c r="C37" s="7"/>
      <c r="D37" s="8"/>
      <c r="E37" s="8"/>
      <c r="F37" s="9"/>
      <c r="G37" s="9"/>
      <c r="H37" s="9"/>
    </row>
    <row r="38" spans="1:8" s="31" customFormat="1" x14ac:dyDescent="0.2">
      <c r="A38" s="302" t="s">
        <v>9</v>
      </c>
      <c r="B38" s="302"/>
      <c r="C38" s="302"/>
      <c r="D38" s="302"/>
      <c r="E38" s="302"/>
      <c r="F38" s="302"/>
      <c r="G38" s="302"/>
      <c r="H38" s="30">
        <f>SUM(H13,H15,H17,H19,H21,H23,H25,H27,H33,H35)</f>
        <v>0</v>
      </c>
    </row>
    <row r="39" spans="1:8" x14ac:dyDescent="0.2">
      <c r="A39" s="32"/>
      <c r="B39" s="32"/>
      <c r="C39" s="32"/>
      <c r="D39" s="32"/>
      <c r="E39" s="32"/>
      <c r="F39" s="32"/>
      <c r="G39" s="32"/>
      <c r="H39" s="33"/>
    </row>
    <row r="40" spans="1:8" x14ac:dyDescent="0.2">
      <c r="A40" s="32"/>
      <c r="B40" s="32"/>
      <c r="C40" s="32"/>
      <c r="D40" s="32"/>
      <c r="E40" s="32"/>
      <c r="F40" s="32"/>
      <c r="G40" s="32"/>
      <c r="H40" s="33"/>
    </row>
    <row r="41" spans="1:8" x14ac:dyDescent="0.2">
      <c r="A41" s="32"/>
      <c r="B41" s="32"/>
      <c r="C41" s="32"/>
      <c r="D41" s="32"/>
      <c r="E41" s="32"/>
      <c r="F41" s="32"/>
      <c r="G41" s="32"/>
      <c r="H41" s="33"/>
    </row>
    <row r="42" spans="1:8" ht="13.5" thickBot="1" x14ac:dyDescent="0.25">
      <c r="A42" s="7"/>
      <c r="B42" s="7"/>
      <c r="C42" s="7"/>
      <c r="D42" s="8"/>
      <c r="E42" s="8"/>
      <c r="F42" s="9"/>
      <c r="G42" s="9"/>
      <c r="H42" s="9"/>
    </row>
    <row r="43" spans="1:8" ht="18.75" thickBot="1" x14ac:dyDescent="0.25">
      <c r="A43" s="301" t="s">
        <v>17</v>
      </c>
      <c r="B43" s="301"/>
      <c r="C43" s="301"/>
      <c r="D43" s="301"/>
      <c r="E43" s="301"/>
      <c r="F43" s="301"/>
      <c r="G43" s="301"/>
      <c r="H43" s="301"/>
    </row>
    <row r="44" spans="1:8" x14ac:dyDescent="0.2">
      <c r="A44" s="29" t="s">
        <v>13</v>
      </c>
      <c r="B44" s="29"/>
      <c r="C44" s="29"/>
      <c r="D44" s="29" t="s">
        <v>12</v>
      </c>
      <c r="E44" s="29"/>
      <c r="F44" s="29"/>
      <c r="G44" s="29"/>
      <c r="H44" s="29"/>
    </row>
    <row r="45" spans="1:8" ht="13.5" thickBot="1" x14ac:dyDescent="0.25">
      <c r="A45" s="19" t="s">
        <v>14</v>
      </c>
      <c r="B45" s="20" t="s">
        <v>7</v>
      </c>
      <c r="C45" s="20"/>
      <c r="D45" s="22" t="str">
        <f>"Lane-"&amp;IF(Units="US CUSTOMARY","miles","kilometers")</f>
        <v>Lane-miles</v>
      </c>
      <c r="E45" s="22"/>
      <c r="F45" s="21"/>
      <c r="G45" s="21"/>
      <c r="H45" s="21" t="s">
        <v>1</v>
      </c>
    </row>
    <row r="46" spans="1:8" ht="13.5" thickTop="1" x14ac:dyDescent="0.2">
      <c r="A46" s="23">
        <v>401</v>
      </c>
      <c r="B46" s="7" t="s">
        <v>2</v>
      </c>
      <c r="C46" s="7"/>
      <c r="D46" s="5"/>
      <c r="E46" s="34"/>
      <c r="F46" s="26"/>
      <c r="G46" s="26"/>
      <c r="H46" s="26" t="str">
        <f>IF(ISNUMBER(D46),(IF(Units="US CUSTOMARY",80000,49600)*(1.05-1)*D46),"-")</f>
        <v>-</v>
      </c>
    </row>
    <row r="47" spans="1:8" ht="6" customHeight="1" x14ac:dyDescent="0.2">
      <c r="A47" s="23"/>
      <c r="B47" s="7"/>
      <c r="C47" s="7"/>
      <c r="D47" s="249"/>
      <c r="E47" s="34"/>
      <c r="F47" s="26"/>
      <c r="G47" s="26"/>
      <c r="H47" s="26"/>
    </row>
    <row r="48" spans="1:8" x14ac:dyDescent="0.2">
      <c r="A48" s="23">
        <v>402</v>
      </c>
      <c r="B48" s="7" t="str">
        <f>IF(FP="FP-03","Hot ACP By Hveem or Marshall Mix Design","ACP By Hveem or Marshall Mix Design")</f>
        <v>ACP By Hveem or Marshall Mix Design</v>
      </c>
      <c r="C48" s="7"/>
      <c r="D48" s="5"/>
      <c r="E48" s="34"/>
      <c r="F48" s="26"/>
      <c r="G48" s="26"/>
      <c r="H48" s="26" t="str">
        <f>IF(ISNUMBER(D48),(IF(Units="US CUSTOMARY",80000,49600)*(1.05-1)*D48),"-")</f>
        <v>-</v>
      </c>
    </row>
    <row r="49" spans="1:8" x14ac:dyDescent="0.2">
      <c r="A49" s="23"/>
      <c r="B49" s="7"/>
      <c r="C49" s="7"/>
      <c r="D49" s="34"/>
      <c r="E49" s="34"/>
      <c r="F49" s="26"/>
      <c r="G49" s="26"/>
      <c r="H49" s="26"/>
    </row>
    <row r="50" spans="1:8" x14ac:dyDescent="0.2">
      <c r="A50" s="7"/>
      <c r="B50" s="7"/>
      <c r="C50" s="7"/>
      <c r="D50" s="8"/>
      <c r="E50" s="8"/>
      <c r="F50" s="9"/>
      <c r="G50" s="9"/>
      <c r="H50" s="9"/>
    </row>
    <row r="51" spans="1:8" x14ac:dyDescent="0.2">
      <c r="A51" s="302" t="s">
        <v>10</v>
      </c>
      <c r="B51" s="302"/>
      <c r="C51" s="302"/>
      <c r="D51" s="302"/>
      <c r="E51" s="302"/>
      <c r="F51" s="302"/>
      <c r="G51" s="302"/>
      <c r="H51" s="35">
        <f>SUM(H46,H48)</f>
        <v>0</v>
      </c>
    </row>
    <row r="52" spans="1:8" x14ac:dyDescent="0.2">
      <c r="A52" s="7"/>
      <c r="B52" s="7"/>
      <c r="C52" s="7"/>
      <c r="D52" s="8"/>
      <c r="E52" s="8"/>
      <c r="F52" s="9"/>
      <c r="G52" s="36"/>
      <c r="H52" s="37"/>
    </row>
    <row r="53" spans="1:8" x14ac:dyDescent="0.2">
      <c r="A53" s="7"/>
      <c r="B53" s="7"/>
      <c r="C53" s="7"/>
      <c r="D53" s="8"/>
      <c r="E53" s="8"/>
      <c r="F53" s="9"/>
      <c r="G53" s="36"/>
      <c r="H53" s="37"/>
    </row>
    <row r="54" spans="1:8" x14ac:dyDescent="0.2">
      <c r="A54" s="7"/>
      <c r="B54" s="7"/>
      <c r="C54" s="7"/>
      <c r="D54" s="8"/>
      <c r="E54" s="8"/>
      <c r="F54" s="9"/>
      <c r="G54" s="36"/>
      <c r="H54" s="37"/>
    </row>
    <row r="55" spans="1:8" x14ac:dyDescent="0.2">
      <c r="A55" s="7"/>
      <c r="B55" s="7"/>
      <c r="C55" s="7"/>
      <c r="D55" s="8"/>
      <c r="E55" s="8"/>
      <c r="F55" s="9"/>
      <c r="G55" s="36"/>
      <c r="H55" s="37"/>
    </row>
    <row r="56" spans="1:8" x14ac:dyDescent="0.2">
      <c r="A56" s="7"/>
      <c r="B56" s="7"/>
      <c r="C56" s="7"/>
      <c r="D56" s="8"/>
      <c r="E56" s="8"/>
      <c r="F56" s="9"/>
      <c r="G56" s="36"/>
      <c r="H56" s="37"/>
    </row>
    <row r="57" spans="1:8" x14ac:dyDescent="0.2">
      <c r="A57" s="7"/>
      <c r="B57" s="7"/>
      <c r="C57" s="7"/>
      <c r="D57" s="8"/>
      <c r="E57" s="8"/>
      <c r="F57" s="9"/>
      <c r="G57" s="36"/>
      <c r="H57" s="37"/>
    </row>
    <row r="58" spans="1:8" x14ac:dyDescent="0.2">
      <c r="A58" s="7"/>
      <c r="B58" s="7"/>
      <c r="C58" s="7"/>
      <c r="D58" s="8"/>
      <c r="E58" s="8"/>
      <c r="F58" s="9"/>
      <c r="G58" s="9"/>
      <c r="H58" s="9"/>
    </row>
    <row r="59" spans="1:8" x14ac:dyDescent="0.2">
      <c r="A59" s="7"/>
      <c r="B59" s="7"/>
      <c r="C59" s="7"/>
      <c r="D59" s="8"/>
      <c r="E59" s="8"/>
      <c r="F59" s="9"/>
      <c r="G59" s="9"/>
      <c r="H59" s="9"/>
    </row>
    <row r="60" spans="1:8" x14ac:dyDescent="0.2">
      <c r="A60" s="40" t="s">
        <v>18</v>
      </c>
      <c r="B60" s="41" t="s">
        <v>19</v>
      </c>
      <c r="C60" s="41"/>
      <c r="D60" s="8"/>
      <c r="E60" s="8"/>
      <c r="F60" s="9"/>
      <c r="G60" s="9"/>
      <c r="H60" s="9"/>
    </row>
    <row r="61" spans="1:8" x14ac:dyDescent="0.2">
      <c r="A61" s="41"/>
      <c r="B61" s="41" t="s">
        <v>20</v>
      </c>
      <c r="C61" s="41"/>
      <c r="D61" s="8"/>
      <c r="E61" s="8"/>
      <c r="F61" s="9"/>
      <c r="G61" s="9"/>
      <c r="H61" s="9"/>
    </row>
    <row r="62" spans="1:8" x14ac:dyDescent="0.2">
      <c r="A62" s="41"/>
      <c r="B62" s="41"/>
      <c r="C62" s="41"/>
      <c r="D62" s="8"/>
      <c r="E62" s="8"/>
      <c r="F62" s="9"/>
      <c r="G62" s="9"/>
      <c r="H62" s="9"/>
    </row>
    <row r="63" spans="1:8" x14ac:dyDescent="0.2">
      <c r="A63" s="40" t="s">
        <v>21</v>
      </c>
      <c r="B63" s="41" t="s">
        <v>22</v>
      </c>
      <c r="C63" s="41"/>
      <c r="D63" s="8"/>
      <c r="E63" s="8"/>
      <c r="F63" s="9"/>
      <c r="G63" s="9"/>
      <c r="H63" s="9"/>
    </row>
    <row r="64" spans="1:8" x14ac:dyDescent="0.2">
      <c r="A64" s="41"/>
      <c r="B64" s="41" t="s">
        <v>20</v>
      </c>
      <c r="C64" s="41"/>
      <c r="D64" s="8"/>
      <c r="E64" s="8"/>
      <c r="F64" s="9"/>
      <c r="G64" s="9"/>
      <c r="H64" s="9"/>
    </row>
    <row r="65" spans="1:8" x14ac:dyDescent="0.2">
      <c r="A65" s="41"/>
      <c r="B65" s="41"/>
      <c r="C65" s="41"/>
      <c r="D65" s="8"/>
      <c r="E65" s="8"/>
      <c r="F65" s="9"/>
      <c r="G65" s="9"/>
      <c r="H65" s="9"/>
    </row>
    <row r="66" spans="1:8" x14ac:dyDescent="0.2">
      <c r="A66" s="40" t="s">
        <v>23</v>
      </c>
      <c r="B66" s="41" t="str">
        <f>"Incentive Amt = (Lane-"&amp;IF(Units="US CUSTOMARY","miles","kilometers")&amp;" x "&amp;IF(Units="US CUSTOMARY","80,000 x 0.05)","49,600 x 0.05)")</f>
        <v>Incentive Amt = (Lane-miles x 80,000 x 0.05)</v>
      </c>
      <c r="C66" s="41"/>
      <c r="D66" s="8"/>
      <c r="E66" s="8"/>
      <c r="F66" s="9"/>
      <c r="G66" s="9"/>
      <c r="H66" s="9"/>
    </row>
    <row r="67" spans="1:8" ht="18" x14ac:dyDescent="0.25">
      <c r="A67" s="298" t="s">
        <v>28</v>
      </c>
      <c r="B67" s="298"/>
      <c r="C67" s="298"/>
      <c r="D67" s="298"/>
      <c r="E67" s="298"/>
      <c r="F67" s="298"/>
      <c r="G67" s="298"/>
      <c r="H67" s="298"/>
    </row>
    <row r="68" spans="1:8" x14ac:dyDescent="0.2">
      <c r="A68" s="7"/>
      <c r="B68" s="7"/>
      <c r="C68" s="11" t="s">
        <v>24</v>
      </c>
      <c r="D68" s="12" t="str">
        <f>IF(FP="FP-03","FP-03","FP-14")</f>
        <v>FP-14</v>
      </c>
      <c r="E68" s="8"/>
      <c r="F68" s="9"/>
      <c r="G68" s="9"/>
      <c r="H68" s="9"/>
    </row>
    <row r="69" spans="1:8" x14ac:dyDescent="0.2">
      <c r="A69" s="7"/>
      <c r="B69" s="7"/>
      <c r="C69" s="7"/>
      <c r="D69" s="10"/>
      <c r="E69" s="8"/>
      <c r="F69" s="9"/>
      <c r="G69" s="9"/>
      <c r="H69" s="9"/>
    </row>
    <row r="70" spans="1:8" x14ac:dyDescent="0.2">
      <c r="A70" s="11" t="s">
        <v>3</v>
      </c>
      <c r="B70" s="294" t="str">
        <f>+B4</f>
        <v>Enter Project Number</v>
      </c>
      <c r="C70" s="294"/>
      <c r="D70" s="12"/>
      <c r="E70" s="12"/>
      <c r="F70" s="13"/>
      <c r="G70" s="14" t="s">
        <v>5</v>
      </c>
      <c r="H70" s="15">
        <f ca="1" xml:space="preserve"> TODAY()</f>
        <v>43503</v>
      </c>
    </row>
    <row r="71" spans="1:8" ht="4.5" customHeight="1" x14ac:dyDescent="0.2">
      <c r="A71" s="11"/>
      <c r="B71" s="294"/>
      <c r="C71" s="294"/>
      <c r="D71" s="12"/>
      <c r="E71" s="12"/>
      <c r="F71" s="13"/>
      <c r="G71" s="14"/>
      <c r="H71" s="15"/>
    </row>
    <row r="72" spans="1:8" x14ac:dyDescent="0.2">
      <c r="A72" s="11" t="s">
        <v>4</v>
      </c>
      <c r="B72" s="303" t="str">
        <f>+B6</f>
        <v>Enter Project name</v>
      </c>
      <c r="C72" s="303"/>
      <c r="D72" s="303"/>
      <c r="E72" s="303"/>
      <c r="F72" s="303"/>
      <c r="G72" s="14" t="str">
        <f>+G6</f>
        <v xml:space="preserve">Option: </v>
      </c>
      <c r="H72" s="17" t="str">
        <f>+H6</f>
        <v>Z</v>
      </c>
    </row>
    <row r="73" spans="1:8" x14ac:dyDescent="0.2">
      <c r="A73" s="7"/>
      <c r="B73" s="7"/>
      <c r="C73" s="7"/>
      <c r="D73" s="8"/>
      <c r="E73" s="8"/>
      <c r="F73" s="9"/>
      <c r="G73" s="14" t="s">
        <v>8</v>
      </c>
      <c r="H73" s="13" t="str">
        <f>+Units</f>
        <v>US CUSTOMARY</v>
      </c>
    </row>
    <row r="74" spans="1:8" ht="6.75" customHeight="1" thickBot="1" x14ac:dyDescent="0.25">
      <c r="A74" s="7"/>
      <c r="B74" s="7"/>
      <c r="C74" s="7"/>
      <c r="D74" s="8"/>
      <c r="E74" s="8"/>
      <c r="F74" s="9"/>
      <c r="G74" s="14"/>
      <c r="H74" s="13"/>
    </row>
    <row r="75" spans="1:8" ht="19.5" customHeight="1" thickBot="1" x14ac:dyDescent="0.25">
      <c r="A75" s="231" t="s">
        <v>33</v>
      </c>
      <c r="B75" s="232"/>
      <c r="C75" s="232"/>
      <c r="D75" s="232"/>
      <c r="E75" s="232"/>
      <c r="F75" s="232"/>
      <c r="G75" s="232"/>
      <c r="H75" s="233"/>
    </row>
    <row r="76" spans="1:8" ht="5.25" customHeight="1" x14ac:dyDescent="0.2">
      <c r="A76" s="18"/>
      <c r="B76" s="44"/>
      <c r="C76" s="44"/>
      <c r="D76" s="45"/>
      <c r="E76" s="46"/>
      <c r="F76" s="45"/>
      <c r="G76" s="45"/>
      <c r="H76" s="45"/>
    </row>
    <row r="77" spans="1:8" x14ac:dyDescent="0.2">
      <c r="A77" s="57" t="s">
        <v>29</v>
      </c>
      <c r="B77" s="58"/>
      <c r="C77" s="59" t="s">
        <v>89</v>
      </c>
      <c r="D77" s="60" t="str">
        <f>IF(Units="US CUSTOMARY"," CUYD"," m3")</f>
        <v xml:space="preserve"> CUYD</v>
      </c>
      <c r="E77" s="61"/>
      <c r="F77" s="62" t="s">
        <v>32</v>
      </c>
      <c r="G77" s="45"/>
      <c r="H77" s="45"/>
    </row>
    <row r="78" spans="1:8" x14ac:dyDescent="0.2">
      <c r="A78" s="189">
        <v>20401</v>
      </c>
      <c r="B78" s="190" t="s">
        <v>30</v>
      </c>
      <c r="C78" s="308">
        <f>IF(Units="US Customary", 0.3, 0.39)</f>
        <v>0.3</v>
      </c>
      <c r="D78" s="192"/>
      <c r="E78" s="193"/>
      <c r="F78" s="210" t="str">
        <f>IF(ISNUMBER(D78),+C$78*D78, "-")</f>
        <v>-</v>
      </c>
      <c r="G78" s="26"/>
      <c r="H78" s="26"/>
    </row>
    <row r="79" spans="1:8" x14ac:dyDescent="0.2">
      <c r="A79" s="189">
        <v>20402</v>
      </c>
      <c r="B79" s="190" t="s">
        <v>35</v>
      </c>
      <c r="C79" s="309"/>
      <c r="D79" s="192"/>
      <c r="E79" s="193"/>
      <c r="F79" s="210" t="str">
        <f t="shared" ref="F79:F87" si="2">IF(ISNUMBER(D79),+C$78*D79, "-")</f>
        <v>-</v>
      </c>
      <c r="G79" s="26"/>
      <c r="H79" s="26"/>
    </row>
    <row r="80" spans="1:8" x14ac:dyDescent="0.2">
      <c r="A80" s="189">
        <v>20403</v>
      </c>
      <c r="B80" s="190" t="s">
        <v>31</v>
      </c>
      <c r="C80" s="309"/>
      <c r="D80" s="192"/>
      <c r="E80" s="193"/>
      <c r="F80" s="210" t="str">
        <f t="shared" si="2"/>
        <v>-</v>
      </c>
      <c r="G80" s="26"/>
      <c r="H80" s="26"/>
    </row>
    <row r="81" spans="1:8" x14ac:dyDescent="0.2">
      <c r="A81" s="189">
        <v>20404</v>
      </c>
      <c r="B81" s="191" t="s">
        <v>38</v>
      </c>
      <c r="C81" s="309"/>
      <c r="D81" s="192"/>
      <c r="E81" s="193"/>
      <c r="F81" s="210" t="str">
        <f t="shared" si="2"/>
        <v>-</v>
      </c>
      <c r="G81" s="26"/>
      <c r="H81" s="26"/>
    </row>
    <row r="82" spans="1:8" x14ac:dyDescent="0.2">
      <c r="A82" s="189">
        <v>20410</v>
      </c>
      <c r="B82" s="191" t="s">
        <v>34</v>
      </c>
      <c r="C82" s="309"/>
      <c r="D82" s="192"/>
      <c r="E82" s="193"/>
      <c r="F82" s="210" t="str">
        <f t="shared" si="2"/>
        <v>-</v>
      </c>
      <c r="G82" s="26"/>
      <c r="H82" s="26"/>
    </row>
    <row r="83" spans="1:8" x14ac:dyDescent="0.2">
      <c r="A83" s="189">
        <v>20411</v>
      </c>
      <c r="B83" s="191" t="s">
        <v>39</v>
      </c>
      <c r="C83" s="309"/>
      <c r="D83" s="192"/>
      <c r="E83" s="193"/>
      <c r="F83" s="210" t="str">
        <f t="shared" si="2"/>
        <v>-</v>
      </c>
      <c r="G83" s="26"/>
      <c r="H83" s="26"/>
    </row>
    <row r="84" spans="1:8" x14ac:dyDescent="0.2">
      <c r="A84" s="189">
        <v>20415</v>
      </c>
      <c r="B84" s="191" t="s">
        <v>36</v>
      </c>
      <c r="C84" s="309"/>
      <c r="D84" s="192"/>
      <c r="E84" s="193"/>
      <c r="F84" s="210" t="str">
        <f t="shared" si="2"/>
        <v>-</v>
      </c>
      <c r="G84" s="26"/>
      <c r="H84" s="26"/>
    </row>
    <row r="85" spans="1:8" x14ac:dyDescent="0.2">
      <c r="A85" s="189">
        <v>20416</v>
      </c>
      <c r="B85" s="191" t="s">
        <v>40</v>
      </c>
      <c r="C85" s="309"/>
      <c r="D85" s="192"/>
      <c r="E85" s="193"/>
      <c r="F85" s="210" t="str">
        <f t="shared" si="2"/>
        <v>-</v>
      </c>
      <c r="G85" s="26"/>
      <c r="H85" s="26"/>
    </row>
    <row r="86" spans="1:8" x14ac:dyDescent="0.2">
      <c r="A86" s="189">
        <v>20420</v>
      </c>
      <c r="B86" s="191" t="s">
        <v>136</v>
      </c>
      <c r="C86" s="309"/>
      <c r="D86" s="192"/>
      <c r="E86" s="193"/>
      <c r="F86" s="210" t="str">
        <f t="shared" si="2"/>
        <v>-</v>
      </c>
      <c r="G86" s="26"/>
      <c r="H86" s="26"/>
    </row>
    <row r="87" spans="1:8" x14ac:dyDescent="0.2">
      <c r="A87" s="189">
        <v>20421</v>
      </c>
      <c r="B87" s="191" t="s">
        <v>37</v>
      </c>
      <c r="C87" s="309"/>
      <c r="D87" s="192"/>
      <c r="E87" s="193"/>
      <c r="F87" s="210" t="str">
        <f t="shared" si="2"/>
        <v>-</v>
      </c>
      <c r="G87" s="26"/>
      <c r="H87" s="26"/>
    </row>
    <row r="88" spans="1:8" x14ac:dyDescent="0.2">
      <c r="A88" s="63" t="s">
        <v>45</v>
      </c>
      <c r="B88" s="64"/>
      <c r="C88" s="59" t="s">
        <v>89</v>
      </c>
      <c r="D88" s="60" t="str">
        <f>IF(Units="US CUSTOMARY"," Tons"," tonnes")</f>
        <v xml:space="preserve"> Tons</v>
      </c>
      <c r="E88" s="61"/>
      <c r="F88" s="62" t="s">
        <v>32</v>
      </c>
      <c r="G88" s="26"/>
      <c r="H88" s="26"/>
    </row>
    <row r="89" spans="1:8" x14ac:dyDescent="0.2">
      <c r="A89" s="189">
        <v>30101</v>
      </c>
      <c r="B89" s="191" t="s">
        <v>41</v>
      </c>
      <c r="C89" s="310">
        <f>IF(Units="US Customary", 0.7, 0.77)</f>
        <v>0.7</v>
      </c>
      <c r="D89" s="192"/>
      <c r="E89" s="193"/>
      <c r="F89" s="210" t="str">
        <f>IF(ISNUMBER(D89),+C$89*D89, "-")</f>
        <v>-</v>
      </c>
      <c r="G89" s="26"/>
      <c r="H89" s="26"/>
    </row>
    <row r="90" spans="1:8" x14ac:dyDescent="0.2">
      <c r="A90" s="189">
        <v>30102</v>
      </c>
      <c r="B90" s="191" t="s">
        <v>42</v>
      </c>
      <c r="C90" s="311"/>
      <c r="D90" s="192"/>
      <c r="E90" s="193"/>
      <c r="F90" s="210" t="str">
        <f t="shared" ref="F90:F97" si="3">IF(ISNUMBER(D90),+C$89*D90, "-")</f>
        <v>-</v>
      </c>
      <c r="G90" s="26"/>
      <c r="H90" s="26"/>
    </row>
    <row r="91" spans="1:8" x14ac:dyDescent="0.2">
      <c r="A91" s="189">
        <v>30103</v>
      </c>
      <c r="B91" s="191" t="s">
        <v>42</v>
      </c>
      <c r="C91" s="311"/>
      <c r="D91" s="192"/>
      <c r="E91" s="193"/>
      <c r="F91" s="210" t="str">
        <f t="shared" si="3"/>
        <v>-</v>
      </c>
      <c r="G91" s="26"/>
      <c r="H91" s="26"/>
    </row>
    <row r="92" spans="1:8" x14ac:dyDescent="0.2">
      <c r="A92" s="237">
        <v>30105</v>
      </c>
      <c r="B92" s="238" t="s">
        <v>43</v>
      </c>
      <c r="C92" s="311"/>
      <c r="D92" s="192"/>
      <c r="E92" s="193"/>
      <c r="F92" s="210" t="str">
        <f t="shared" si="3"/>
        <v>-</v>
      </c>
      <c r="G92" s="26"/>
      <c r="H92" s="26"/>
    </row>
    <row r="93" spans="1:8" x14ac:dyDescent="0.2">
      <c r="A93" s="237">
        <v>30106</v>
      </c>
      <c r="B93" s="238" t="s">
        <v>44</v>
      </c>
      <c r="C93" s="311"/>
      <c r="D93" s="192"/>
      <c r="E93" s="193"/>
      <c r="F93" s="210" t="str">
        <f t="shared" si="3"/>
        <v>-</v>
      </c>
      <c r="G93" s="26"/>
      <c r="H93" s="26"/>
    </row>
    <row r="94" spans="1:8" x14ac:dyDescent="0.2">
      <c r="A94" s="237">
        <v>30107</v>
      </c>
      <c r="B94" s="238" t="s">
        <v>44</v>
      </c>
      <c r="C94" s="311"/>
      <c r="D94" s="192"/>
      <c r="E94" s="193"/>
      <c r="F94" s="210" t="str">
        <f t="shared" si="3"/>
        <v>-</v>
      </c>
      <c r="G94" s="26"/>
      <c r="H94" s="26"/>
    </row>
    <row r="95" spans="1:8" x14ac:dyDescent="0.2">
      <c r="A95" s="237">
        <v>30110</v>
      </c>
      <c r="B95" s="238" t="s">
        <v>137</v>
      </c>
      <c r="C95" s="311"/>
      <c r="D95" s="192"/>
      <c r="E95" s="193"/>
      <c r="F95" s="210" t="str">
        <f t="shared" si="3"/>
        <v>-</v>
      </c>
      <c r="G95" s="26"/>
      <c r="H95" s="26"/>
    </row>
    <row r="96" spans="1:8" x14ac:dyDescent="0.2">
      <c r="A96" s="237">
        <v>30111</v>
      </c>
      <c r="B96" s="238" t="s">
        <v>138</v>
      </c>
      <c r="C96" s="311"/>
      <c r="D96" s="192"/>
      <c r="E96" s="193"/>
      <c r="F96" s="210" t="str">
        <f t="shared" si="3"/>
        <v>-</v>
      </c>
      <c r="G96" s="26"/>
      <c r="H96" s="26"/>
    </row>
    <row r="97" spans="1:8" x14ac:dyDescent="0.2">
      <c r="A97" s="237">
        <v>30112</v>
      </c>
      <c r="B97" s="238" t="s">
        <v>138</v>
      </c>
      <c r="C97" s="311"/>
      <c r="D97" s="192"/>
      <c r="E97" s="193"/>
      <c r="F97" s="210" t="str">
        <f t="shared" si="3"/>
        <v>-</v>
      </c>
      <c r="G97" s="26"/>
      <c r="H97" s="26"/>
    </row>
    <row r="98" spans="1:8" x14ac:dyDescent="0.2">
      <c r="A98" s="63" t="str">
        <f>IF(FP="FP-03","Section 302 - Untreated Aggregate Courses","Section 305 - Full Depth reclamation (FDR) with Cement")</f>
        <v>Section 305 - Full Depth reclamation (FDR) with Cement</v>
      </c>
      <c r="B98" s="64"/>
      <c r="C98" s="59" t="s">
        <v>89</v>
      </c>
      <c r="D98" s="60" t="str">
        <f>IF(Units="US CUSTOMARY",(VLOOKUP(A100,'VLookup table'!A1:E6,4)),(VLOOKUP(A100,'VLookup table'!A1:E6,5)))</f>
        <v>SQYD</v>
      </c>
      <c r="E98" s="65"/>
      <c r="F98" s="62" t="s">
        <v>32</v>
      </c>
      <c r="G98" s="26"/>
      <c r="H98" s="26"/>
    </row>
    <row r="99" spans="1:8" x14ac:dyDescent="0.2">
      <c r="A99" s="189" t="str">
        <f>IF(FP="FP-03","30201","30501")</f>
        <v>30501</v>
      </c>
      <c r="B99" s="190" t="str">
        <f>IF(FP="FP-03","Treated aggregate course","FDR with cement*")</f>
        <v>FDR with cement*</v>
      </c>
      <c r="C99" s="311">
        <f>IF(Units="US CUSTOMARY",(VLOOKUP(A100,'VLookup table'!A2:G8,6)),(VLOOKUP(A100,'VLookup table'!A2:G8,7)))</f>
        <v>0.3</v>
      </c>
      <c r="D99" s="192"/>
      <c r="E99" s="193"/>
      <c r="F99" s="210" t="str">
        <f>IF(ISNUMBER(D99),+C$99*D99, "-")</f>
        <v>-</v>
      </c>
      <c r="G99" s="26"/>
      <c r="H99" s="26"/>
    </row>
    <row r="100" spans="1:8" x14ac:dyDescent="0.2">
      <c r="A100" s="189" t="str">
        <f>IF(FP="FP-03","30202","30502")</f>
        <v>30502</v>
      </c>
      <c r="B100" s="190" t="str">
        <f>IF(FP="FP-03","Treated aggregate course*","FDR with cement")</f>
        <v>FDR with cement</v>
      </c>
      <c r="C100" s="311"/>
      <c r="D100" s="192"/>
      <c r="E100" s="193"/>
      <c r="F100" s="210" t="str">
        <f>IF(ISNUMBER(D100),+C$99*D100, "-")</f>
        <v>-</v>
      </c>
      <c r="G100" s="26"/>
      <c r="H100" s="26"/>
    </row>
    <row r="101" spans="1:8" x14ac:dyDescent="0.2">
      <c r="A101" s="63" t="str">
        <f>IF(FP="FP-03","Section 304 - Aggregate Stabilization","Section 306 - Full Depth Reclamation (FDR) with Asphalt")</f>
        <v>Section 306 - Full Depth Reclamation (FDR) with Asphalt</v>
      </c>
      <c r="B101" s="66"/>
      <c r="C101" s="59" t="s">
        <v>89</v>
      </c>
      <c r="D101" s="60" t="str">
        <f>IF(Units="US CUSTOMARY",(VLOOKUP(A103,'VLookup table'!A7:E17,4)),(VLOOKUP(A103,'VLookup table'!A7:E17,5)))</f>
        <v>SQYD</v>
      </c>
      <c r="E101" s="65"/>
      <c r="F101" s="62" t="s">
        <v>32</v>
      </c>
      <c r="G101" s="26"/>
      <c r="H101" s="26"/>
    </row>
    <row r="102" spans="1:8" x14ac:dyDescent="0.2">
      <c r="A102" s="189" t="str">
        <f>IF(FP="FP-03","30401","30601")</f>
        <v>30601</v>
      </c>
      <c r="B102" s="194" t="str">
        <f>IF(FP="FP-03","Aggregate stabilzation imported aggregate","FDR with emulsified asphalt*")</f>
        <v>FDR with emulsified asphalt*</v>
      </c>
      <c r="C102" s="310">
        <f>IF(Units="US CUSTOMARY",(VLOOKUP(A103,'VLookup table'!A2:G8,6)),(VLOOKUP(A103,'VLookup table'!A2:G8,7)))</f>
        <v>0.3</v>
      </c>
      <c r="D102" s="192"/>
      <c r="E102" s="193"/>
      <c r="F102" s="210" t="str">
        <f>IF(ISNUMBER(D102),+C$102*D102, "-")</f>
        <v>-</v>
      </c>
      <c r="G102" s="74"/>
      <c r="H102" s="26"/>
    </row>
    <row r="103" spans="1:8" x14ac:dyDescent="0.2">
      <c r="A103" s="189" t="str">
        <f>IF(FP="FP-03","30402","30602")</f>
        <v>30602</v>
      </c>
      <c r="B103" s="194" t="str">
        <f>IF(FP="FP-03","Aggregate stabilzation imported aggregate*","FDR with emulsified asphalt")</f>
        <v>FDR with emulsified asphalt</v>
      </c>
      <c r="C103" s="311"/>
      <c r="D103" s="192"/>
      <c r="E103" s="193"/>
      <c r="F103" s="210" t="str">
        <f t="shared" ref="F103:F106" si="4">IF(ISNUMBER(D103),+C$102*D103, "-")</f>
        <v>-</v>
      </c>
      <c r="G103" s="74"/>
      <c r="H103" s="26"/>
    </row>
    <row r="104" spans="1:8" x14ac:dyDescent="0.2">
      <c r="A104" s="189" t="str">
        <f>IF(FP="FP-03","30405","30603")</f>
        <v>30603</v>
      </c>
      <c r="B104" s="194" t="str">
        <f>IF(FP="FP-03","Aggregate stabilzation in-place aggregate*","FDR with foamed asphalt*")</f>
        <v>FDR with foamed asphalt*</v>
      </c>
      <c r="C104" s="311"/>
      <c r="D104" s="192"/>
      <c r="E104" s="193"/>
      <c r="F104" s="210" t="str">
        <f t="shared" si="4"/>
        <v>-</v>
      </c>
      <c r="G104" s="74"/>
      <c r="H104" s="26"/>
    </row>
    <row r="105" spans="1:8" ht="22.5" customHeight="1" x14ac:dyDescent="0.2">
      <c r="A105" s="195" t="str">
        <f>IF(FP="FP-03","30410","30604")</f>
        <v>30604</v>
      </c>
      <c r="B105" s="196" t="str">
        <f>IF(FP="FP-03","Aggregate stabilzation imported surface course*","FDR with foamed asphalt")</f>
        <v>FDR with foamed asphalt</v>
      </c>
      <c r="C105" s="311"/>
      <c r="D105" s="197"/>
      <c r="E105" s="198"/>
      <c r="F105" s="210" t="str">
        <f t="shared" si="4"/>
        <v>-</v>
      </c>
      <c r="G105" s="74"/>
      <c r="H105" s="26"/>
    </row>
    <row r="106" spans="1:8" ht="22.5" customHeight="1" x14ac:dyDescent="0.2">
      <c r="A106" s="195" t="str">
        <f>IF(FP="FP-03","30411","")</f>
        <v/>
      </c>
      <c r="B106" s="196" t="str">
        <f>IF(FP="FP-03","Aggregate stabilzation imported surface course*"," ")</f>
        <v xml:space="preserve"> </v>
      </c>
      <c r="C106" s="311"/>
      <c r="D106" s="197"/>
      <c r="E106" s="198"/>
      <c r="F106" s="210" t="str">
        <f t="shared" si="4"/>
        <v>-</v>
      </c>
      <c r="G106" s="74"/>
      <c r="H106" s="26"/>
    </row>
    <row r="107" spans="1:8" x14ac:dyDescent="0.2">
      <c r="A107" s="63" t="s">
        <v>139</v>
      </c>
      <c r="B107" s="66"/>
      <c r="C107" s="59" t="s">
        <v>89</v>
      </c>
      <c r="D107" s="60" t="str">
        <f>IF(Units="US CUSTOMARY"," Tons"," tonnes")</f>
        <v xml:space="preserve"> Tons</v>
      </c>
      <c r="E107" s="65"/>
      <c r="F107" s="67" t="s">
        <v>32</v>
      </c>
      <c r="G107" s="26"/>
      <c r="H107" s="26"/>
    </row>
    <row r="108" spans="1:8" x14ac:dyDescent="0.2">
      <c r="A108" s="189">
        <v>30901</v>
      </c>
      <c r="B108" s="239" t="s">
        <v>78</v>
      </c>
      <c r="C108" s="310">
        <f>IF(Units="US Customary", 0.7, 0.77)</f>
        <v>0.7</v>
      </c>
      <c r="D108" s="192"/>
      <c r="E108" s="193"/>
      <c r="F108" s="210" t="str">
        <f>IF(ISNUMBER(D108),+C$108*D108, "-")</f>
        <v>-</v>
      </c>
      <c r="G108" s="26"/>
      <c r="H108" s="26"/>
    </row>
    <row r="109" spans="1:8" x14ac:dyDescent="0.2">
      <c r="A109" s="189">
        <v>30902</v>
      </c>
      <c r="B109" s="239" t="s">
        <v>79</v>
      </c>
      <c r="C109" s="311"/>
      <c r="D109" s="192"/>
      <c r="E109" s="193"/>
      <c r="F109" s="210" t="str">
        <f t="shared" ref="F109:F110" si="5">IF(ISNUMBER(D109),+C$108*D109, "-")</f>
        <v>-</v>
      </c>
      <c r="G109" s="26"/>
      <c r="H109" s="26"/>
    </row>
    <row r="110" spans="1:8" x14ac:dyDescent="0.2">
      <c r="A110" s="189">
        <v>30903</v>
      </c>
      <c r="B110" s="239" t="s">
        <v>79</v>
      </c>
      <c r="C110" s="311"/>
      <c r="D110" s="192"/>
      <c r="E110" s="193"/>
      <c r="F110" s="210" t="str">
        <f t="shared" si="5"/>
        <v>-</v>
      </c>
      <c r="G110" s="26"/>
      <c r="H110" s="26"/>
    </row>
    <row r="111" spans="1:8" x14ac:dyDescent="0.2">
      <c r="A111" s="63" t="str">
        <f>IF(FP="FP-03","Section 401 - Superpave HACP","Section 310 - Cold In-Place (CIP) Recycled Asphalt Base")</f>
        <v>Section 310 - Cold In-Place (CIP) Recycled Asphalt Base</v>
      </c>
      <c r="B111" s="58"/>
      <c r="C111" s="59" t="s">
        <v>89</v>
      </c>
      <c r="D111" s="82" t="str">
        <f>IF(Units="US CUSTOMARY", (VLOOKUP(A113,'VLookup table'!A18:G27,4)),(VLOOKUP(A113,'VLookup table'!A18:G27,5)))</f>
        <v>SQYD</v>
      </c>
      <c r="E111" s="65"/>
      <c r="F111" s="67" t="s">
        <v>32</v>
      </c>
      <c r="G111" s="84"/>
      <c r="H111" s="26"/>
    </row>
    <row r="112" spans="1:8" x14ac:dyDescent="0.2">
      <c r="A112" s="189" t="str">
        <f>IF(FP="FP-03","40101","31001")</f>
        <v>31001</v>
      </c>
      <c r="B112" s="190" t="str">
        <f>IF(FP="FP-03","Superpave pavement","CIP recycled ashalt base*")</f>
        <v>CIP recycled ashalt base*</v>
      </c>
      <c r="C112" s="311">
        <f>IF(Units="US CUSTOMARY",(VLOOKUP(A113,'VLookup table'!A18:G27,6)),(VLOOKUP(A113,'VLookup table'!A18:G27,7)))</f>
        <v>0.15</v>
      </c>
      <c r="D112" s="192"/>
      <c r="E112" s="193"/>
      <c r="F112" s="210" t="str">
        <f>IF(ISNUMBER(D112),+C$112*D112, "-")</f>
        <v>-</v>
      </c>
      <c r="G112" s="26"/>
      <c r="H112" s="26"/>
    </row>
    <row r="113" spans="1:8" ht="22.5" customHeight="1" x14ac:dyDescent="0.2">
      <c r="A113" s="195" t="str">
        <f>IF(FP="FP-03","40102","31002")</f>
        <v>31002</v>
      </c>
      <c r="B113" s="196" t="str">
        <f>IF(FP="FP-03","Superpave pavement wedge and levelling course","CIP recycled ashalt base")</f>
        <v>CIP recycled ashalt base</v>
      </c>
      <c r="C113" s="311"/>
      <c r="D113" s="197"/>
      <c r="E113" s="198"/>
      <c r="F113" s="210" t="str">
        <f>IF(ISNUMBER(D113),+C$112*D113, "-")</f>
        <v>-</v>
      </c>
      <c r="G113" s="26"/>
      <c r="H113" s="26"/>
    </row>
    <row r="114" spans="1:8" x14ac:dyDescent="0.2">
      <c r="A114" s="63" t="str">
        <f>IF(FP="FP-03","Section 402 - HACP by Hveem or Marshall","Section 311 - Stabilized Aggregate Base Course")</f>
        <v>Section 311 - Stabilized Aggregate Base Course</v>
      </c>
      <c r="B114" s="58"/>
      <c r="C114" s="59" t="s">
        <v>89</v>
      </c>
      <c r="D114" s="82" t="str">
        <f>IF(Units="US CUSTOMARY", (VLOOKUP(A116,'VLookup table'!A21:G29,4)),(VLOOKUP(A116,'VLookup table'!A21:G29,5)))</f>
        <v>Tons</v>
      </c>
      <c r="E114" s="65"/>
      <c r="F114" s="67" t="s">
        <v>32</v>
      </c>
      <c r="G114" s="26"/>
      <c r="H114" s="26"/>
    </row>
    <row r="115" spans="1:8" ht="12.75" customHeight="1" x14ac:dyDescent="0.2">
      <c r="A115" s="189" t="str">
        <f>IF(FP="FP-03","40201","31101")</f>
        <v>31101</v>
      </c>
      <c r="B115" s="190" t="str">
        <f>IF(FP="FP-03","HACP Hveem or Marshall test","Stabilized aggregate surface course*")</f>
        <v>Stabilized aggregate surface course*</v>
      </c>
      <c r="C115" s="304">
        <f>IF(Units="US CUSTOMARY",(VLOOKUP(A116,'VLookup table'!A21:G29,6)),(VLOOKUP(A116,'VLookup table'!A21:G29,7)))</f>
        <v>0.7</v>
      </c>
      <c r="D115" s="192"/>
      <c r="E115" s="193"/>
      <c r="F115" s="210" t="str">
        <f>IF(ISNUMBER(D115),+C$115*D115, "-")</f>
        <v>-</v>
      </c>
      <c r="G115" s="84"/>
      <c r="H115" s="26"/>
    </row>
    <row r="116" spans="1:8" ht="23.25" customHeight="1" x14ac:dyDescent="0.2">
      <c r="A116" s="195" t="str">
        <f>IF(FP="FP-03","40202","31102")</f>
        <v>31102</v>
      </c>
      <c r="B116" s="196" t="str">
        <f>IF(FP="FP-03","HACP Hveem or Marshall test, wedge and levelling course","Stabilized aggregate surface course*")</f>
        <v>Stabilized aggregate surface course*</v>
      </c>
      <c r="C116" s="304"/>
      <c r="D116" s="197"/>
      <c r="E116" s="198"/>
      <c r="F116" s="210" t="str">
        <f t="shared" ref="F116:F117" si="6">IF(ISNUMBER(D116),+C$115*D116, "-")</f>
        <v>-</v>
      </c>
      <c r="G116" s="26"/>
      <c r="H116" s="26"/>
    </row>
    <row r="117" spans="1:8" x14ac:dyDescent="0.2">
      <c r="A117" s="189" t="str">
        <f>IF(FP="FP-03"," ","31103")</f>
        <v>31103</v>
      </c>
      <c r="B117" s="190" t="str">
        <f>IF(FP="FP-03"," ","Stabilized aggregate surface course")</f>
        <v>Stabilized aggregate surface course</v>
      </c>
      <c r="C117" s="305"/>
      <c r="D117" s="192"/>
      <c r="E117" s="193"/>
      <c r="F117" s="210" t="str">
        <f t="shared" si="6"/>
        <v>-</v>
      </c>
      <c r="G117" s="26"/>
      <c r="H117" s="26"/>
    </row>
    <row r="118" spans="1:8" x14ac:dyDescent="0.2">
      <c r="A118" s="68" t="str">
        <f>IF(FP="FP-03","Section 403 - Hot Asphalt Concrete Pavement","Section 401 - ACP by Gyratory Mix Design Method")</f>
        <v>Section 401 - ACP by Gyratory Mix Design Method</v>
      </c>
      <c r="B118" s="69"/>
      <c r="C118" s="79" t="s">
        <v>89</v>
      </c>
      <c r="D118" s="82" t="str">
        <f>IF(Units="US CUSTOMARY", (VLOOKUP(A120,'VLookup table'!A30:G35,4)),(VLOOKUP(A120,'VLookup table'!A30:G35,5)))</f>
        <v>Tons</v>
      </c>
      <c r="E118" s="72"/>
      <c r="F118" s="78" t="s">
        <v>32</v>
      </c>
      <c r="G118" s="26"/>
      <c r="H118" s="26"/>
    </row>
    <row r="119" spans="1:8" x14ac:dyDescent="0.2">
      <c r="A119" s="199" t="str">
        <f>IF(FP="FP-03","40301","40101")</f>
        <v>40101</v>
      </c>
      <c r="B119" s="191" t="str">
        <f>IF(FP="FP-03","Hot asphalt concrete pavement","Asphalt concrete pavement, gyratory mix")</f>
        <v>Asphalt concrete pavement, gyratory mix</v>
      </c>
      <c r="C119" s="304">
        <f>IF(Units="US CUSTOMARY",(VLOOKUP(A120,'VLookup table'!A30:G35,6)),(VLOOKUP(A120,'VLookup table'!A30:G35,7)))</f>
        <v>2.4</v>
      </c>
      <c r="D119" s="200"/>
      <c r="E119" s="201"/>
      <c r="F119" s="240" t="str">
        <f>IF(ISNUMBER(D119),+C$119*D119, "-")</f>
        <v>-</v>
      </c>
      <c r="G119" s="84"/>
      <c r="H119" s="26"/>
    </row>
    <row r="120" spans="1:8" ht="22.5" x14ac:dyDescent="0.2">
      <c r="A120" s="202" t="str">
        <f>IF(FP="FP-03","40302","40102")</f>
        <v>40102</v>
      </c>
      <c r="B120" s="203" t="str">
        <f>IF(FP="FP-03","Hot asphalt concrete pavement, wedge and levelling course","Asphalt concrete pavement, gyratory mix, wedged and leveling")</f>
        <v>Asphalt concrete pavement, gyratory mix, wedged and leveling</v>
      </c>
      <c r="C120" s="304"/>
      <c r="D120" s="204"/>
      <c r="E120" s="205"/>
      <c r="F120" s="240" t="str">
        <f>IF(ISNUMBER(D120),+C$119*D120, "-")</f>
        <v>-</v>
      </c>
      <c r="G120" s="26"/>
      <c r="H120" s="26"/>
    </row>
    <row r="121" spans="1:8" ht="28.5" customHeight="1" x14ac:dyDescent="0.25">
      <c r="A121" s="306" t="str">
        <f>IF(FP="FP-03","Section 405 - Open-Graded Asphalt Friction Course","Section 402 - ACP by Hveem or Marshall Mix Design Method")</f>
        <v>Section 402 - ACP by Hveem or Marshall Mix Design Method</v>
      </c>
      <c r="B121" s="307"/>
      <c r="C121" s="162" t="s">
        <v>89</v>
      </c>
      <c r="D121" s="163" t="str">
        <f>IF(Units="US CUSTOMARY", (VLOOKUP(A121,'VLookup table'!A37:G40,4)),(VLOOKUP(A121,'VLookup table'!A37:G40,5)))</f>
        <v>Tons</v>
      </c>
      <c r="E121" s="164"/>
      <c r="F121" s="165" t="s">
        <v>32</v>
      </c>
      <c r="G121" s="26"/>
      <c r="H121" s="26"/>
    </row>
    <row r="122" spans="1:8" ht="12.75" customHeight="1" x14ac:dyDescent="0.2">
      <c r="A122" s="199" t="str">
        <f>IF(FP="FP-03","40501","40201")</f>
        <v>40201</v>
      </c>
      <c r="B122" s="191" t="str">
        <f>IF(FP="FP-03","Open-graded asphalt friction course","ACP Hveem or Marshall Mix Design Method")</f>
        <v>ACP Hveem or Marshall Mix Design Method</v>
      </c>
      <c r="C122" s="304">
        <f>IF(Units="US CUSTOMARY",(VLOOKUP(A121,'VLookup table'!A35:G39,6)),(VLOOKUP(A121,'VLookup table'!A35:G39,7)))</f>
        <v>2.4</v>
      </c>
      <c r="D122" s="200"/>
      <c r="E122" s="201"/>
      <c r="F122" s="240" t="str">
        <f>IF(ISNUMBER(D122),+C$122*D122, "-")</f>
        <v>-</v>
      </c>
      <c r="G122" s="84"/>
      <c r="H122" s="26"/>
    </row>
    <row r="123" spans="1:8" ht="23.25" customHeight="1" x14ac:dyDescent="0.2">
      <c r="A123" s="202" t="str">
        <f>IF(FP="FP-03","","40202")</f>
        <v>40202</v>
      </c>
      <c r="B123" s="203" t="str">
        <f>IF(FP="FP-03","","ACP Hveen or Marshall Mix, wedge and leveling")</f>
        <v>ACP Hveen or Marshall Mix, wedge and leveling</v>
      </c>
      <c r="C123" s="304"/>
      <c r="D123" s="204"/>
      <c r="E123" s="205"/>
      <c r="F123" s="240" t="str">
        <f>IF(ISNUMBER(D123),+C$122*D123, "-")</f>
        <v>-</v>
      </c>
      <c r="G123" s="26"/>
      <c r="H123" s="26"/>
    </row>
    <row r="124" spans="1:8" x14ac:dyDescent="0.2">
      <c r="A124" s="68" t="str">
        <f>IF(FP="FP-03","Section 408 - Cold Recycled Asphalt base Course","Section 403 - Asphalt Concrete")</f>
        <v>Section 403 - Asphalt Concrete</v>
      </c>
      <c r="B124" s="69"/>
      <c r="C124" s="79" t="s">
        <v>89</v>
      </c>
      <c r="D124" s="82" t="str">
        <f>IF(Units="US CUSTOMARY", (VLOOKUP(A124,'VLookup table'!A38:G46,4)),(VLOOKUP(A124,'VLookup table'!A38:G46,5)))</f>
        <v>Tons</v>
      </c>
      <c r="E124" s="72"/>
      <c r="F124" s="78" t="s">
        <v>32</v>
      </c>
      <c r="G124" s="49"/>
      <c r="H124" s="49"/>
    </row>
    <row r="125" spans="1:8" x14ac:dyDescent="0.2">
      <c r="A125" s="199" t="str">
        <f>IF(FP="FP-03","40801","40301")</f>
        <v>40301</v>
      </c>
      <c r="B125" s="191" t="str">
        <f>IF(FP="FP-03","Cold recylced aphalt base","Asphalt concrete pavement")</f>
        <v>Asphalt concrete pavement</v>
      </c>
      <c r="C125" s="304">
        <f>IF(Units="US CUSTOMARY",(VLOOKUP(A124,'VLookup table'!A38:G46,6)),(VLOOKUP(A124,'VLookup table'!A38:G46,7)))</f>
        <v>2.4</v>
      </c>
      <c r="D125" s="200"/>
      <c r="E125" s="201"/>
      <c r="F125" s="240" t="str">
        <f>IF(ISNUMBER(D125),+C$125*D125, "-")</f>
        <v>-</v>
      </c>
      <c r="G125" s="154"/>
      <c r="H125" s="18"/>
    </row>
    <row r="126" spans="1:8" x14ac:dyDescent="0.2">
      <c r="A126" s="199" t="str">
        <f>IF(FP="FP-03","40802","40302")</f>
        <v>40302</v>
      </c>
      <c r="B126" s="191" t="str">
        <f>IF(FP="FP-03","Cold recylced aphalt base*","Asphalt concrete pavement*")</f>
        <v>Asphalt concrete pavement*</v>
      </c>
      <c r="C126" s="304"/>
      <c r="D126" s="200"/>
      <c r="E126" s="201"/>
      <c r="F126" s="240" t="str">
        <f t="shared" ref="F126:F127" si="7">IF(ISNUMBER(D126),+C$125*D126, "-")</f>
        <v>-</v>
      </c>
      <c r="G126" s="45"/>
      <c r="H126" s="45"/>
    </row>
    <row r="127" spans="1:8" ht="22.5" x14ac:dyDescent="0.2">
      <c r="A127" s="202" t="str">
        <f>IF(FP="FP-03","","40303")</f>
        <v>40303</v>
      </c>
      <c r="B127" s="203" t="str">
        <f>IF(FP="FP-03","","Asphalt concrete pavement, wedge and levelling")</f>
        <v>Asphalt concrete pavement, wedge and levelling</v>
      </c>
      <c r="C127" s="305"/>
      <c r="D127" s="204"/>
      <c r="E127" s="205"/>
      <c r="F127" s="240" t="str">
        <f t="shared" si="7"/>
        <v>-</v>
      </c>
      <c r="G127" s="45"/>
      <c r="H127" s="45"/>
    </row>
    <row r="128" spans="1:8" ht="15" x14ac:dyDescent="0.25">
      <c r="A128" s="296" t="s">
        <v>184</v>
      </c>
      <c r="B128" s="206"/>
      <c r="C128" s="241"/>
      <c r="D128" s="250"/>
      <c r="E128" s="207"/>
      <c r="F128" s="242"/>
      <c r="G128" s="45"/>
      <c r="H128" s="45"/>
    </row>
    <row r="129" spans="1:8" ht="15" x14ac:dyDescent="0.25">
      <c r="A129" s="166"/>
      <c r="B129" s="161"/>
      <c r="C129" s="243"/>
      <c r="D129" s="251"/>
      <c r="E129" s="208"/>
      <c r="F129" s="244"/>
      <c r="G129" s="45"/>
      <c r="H129" s="45"/>
    </row>
    <row r="130" spans="1:8" ht="15" x14ac:dyDescent="0.25">
      <c r="A130" s="166"/>
      <c r="B130" s="161"/>
      <c r="C130" s="243"/>
      <c r="D130" s="251"/>
      <c r="E130" s="208"/>
      <c r="F130" s="244"/>
      <c r="G130" s="45"/>
      <c r="H130" s="45"/>
    </row>
    <row r="131" spans="1:8" ht="18" x14ac:dyDescent="0.25">
      <c r="A131" s="298" t="s">
        <v>28</v>
      </c>
      <c r="B131" s="298"/>
      <c r="C131" s="298"/>
      <c r="D131" s="298"/>
      <c r="E131" s="298"/>
      <c r="F131" s="298"/>
      <c r="G131" s="298"/>
      <c r="H131" s="298"/>
    </row>
    <row r="132" spans="1:8" x14ac:dyDescent="0.2">
      <c r="A132" s="7"/>
      <c r="B132" s="7"/>
      <c r="C132" s="11" t="s">
        <v>24</v>
      </c>
      <c r="D132" s="12" t="str">
        <f>IF(FP="FP-03","FP-03","FP-14")</f>
        <v>FP-14</v>
      </c>
      <c r="E132" s="8"/>
      <c r="F132" s="9"/>
      <c r="G132" s="9"/>
      <c r="H132" s="9"/>
    </row>
    <row r="133" spans="1:8" x14ac:dyDescent="0.2">
      <c r="A133" s="7"/>
      <c r="B133" s="7"/>
      <c r="C133" s="7"/>
      <c r="D133" s="10"/>
      <c r="E133" s="8"/>
      <c r="F133" s="9"/>
      <c r="G133" s="9"/>
      <c r="H133" s="9"/>
    </row>
    <row r="134" spans="1:8" x14ac:dyDescent="0.2">
      <c r="A134" s="11" t="s">
        <v>3</v>
      </c>
      <c r="B134" s="294" t="str">
        <f>+B4</f>
        <v>Enter Project Number</v>
      </c>
      <c r="C134" s="294"/>
      <c r="D134" s="12"/>
      <c r="E134" s="12"/>
      <c r="F134" s="13"/>
      <c r="G134" s="14" t="s">
        <v>5</v>
      </c>
      <c r="H134" s="15">
        <f ca="1" xml:space="preserve"> TODAY()</f>
        <v>43503</v>
      </c>
    </row>
    <row r="135" spans="1:8" ht="5.25" customHeight="1" x14ac:dyDescent="0.2">
      <c r="A135" s="11"/>
      <c r="B135" s="294"/>
      <c r="C135" s="294"/>
      <c r="D135" s="12"/>
      <c r="E135" s="12"/>
      <c r="F135" s="13"/>
      <c r="G135" s="14"/>
      <c r="H135" s="15"/>
    </row>
    <row r="136" spans="1:8" x14ac:dyDescent="0.2">
      <c r="A136" s="11" t="s">
        <v>4</v>
      </c>
      <c r="B136" s="303" t="str">
        <f>+B6</f>
        <v>Enter Project name</v>
      </c>
      <c r="C136" s="303"/>
      <c r="D136" s="303"/>
      <c r="E136" s="303"/>
      <c r="F136" s="303"/>
      <c r="G136" s="14" t="str">
        <f>+G6</f>
        <v xml:space="preserve">Option: </v>
      </c>
      <c r="H136" s="17" t="str">
        <f>+H6</f>
        <v>Z</v>
      </c>
    </row>
    <row r="137" spans="1:8" x14ac:dyDescent="0.2">
      <c r="A137" s="7"/>
      <c r="B137" s="7"/>
      <c r="C137" s="7"/>
      <c r="D137" s="8"/>
      <c r="E137" s="8"/>
      <c r="F137" s="9"/>
      <c r="G137" s="14" t="s">
        <v>8</v>
      </c>
      <c r="H137" s="13" t="str">
        <f>+Units</f>
        <v>US CUSTOMARY</v>
      </c>
    </row>
    <row r="138" spans="1:8" ht="6.75" customHeight="1" thickBot="1" x14ac:dyDescent="0.25">
      <c r="A138" s="7"/>
      <c r="B138" s="7"/>
      <c r="C138" s="7"/>
      <c r="D138" s="8"/>
      <c r="E138" s="8"/>
      <c r="F138" s="9"/>
      <c r="G138" s="14"/>
      <c r="H138" s="13"/>
    </row>
    <row r="139" spans="1:8" ht="19.5" customHeight="1" thickBot="1" x14ac:dyDescent="0.25">
      <c r="A139" s="231" t="s">
        <v>151</v>
      </c>
      <c r="B139" s="232"/>
      <c r="C139" s="232"/>
      <c r="D139" s="232"/>
      <c r="E139" s="232"/>
      <c r="F139" s="232"/>
      <c r="G139" s="232"/>
      <c r="H139" s="233"/>
    </row>
    <row r="140" spans="1:8" ht="5.25" customHeight="1" x14ac:dyDescent="0.2">
      <c r="A140" s="18"/>
      <c r="B140" s="44"/>
      <c r="C140" s="44"/>
      <c r="D140" s="45"/>
      <c r="E140" s="46"/>
      <c r="F140" s="45"/>
      <c r="G140" s="45"/>
      <c r="H140" s="45"/>
    </row>
    <row r="141" spans="1:8" ht="24" customHeight="1" x14ac:dyDescent="0.2">
      <c r="A141" s="312" t="str">
        <f>IF(FP="FP-03","Section 416 - Continuous Cold Recycled Asphalt Base Course","Section 405 - Open-Graded Asphalt Friction")</f>
        <v>Section 405 - Open-Graded Asphalt Friction</v>
      </c>
      <c r="B141" s="313"/>
      <c r="C141" s="79" t="s">
        <v>89</v>
      </c>
      <c r="D141" s="82" t="str">
        <f>IF(Units="US CUSTOMARY", (VLOOKUP(A141,'VLookup table'!A42:G50,4)),(VLOOKUP(A141,'VLookup table'!A42:G50,5)))</f>
        <v>Tons</v>
      </c>
      <c r="E141" s="72"/>
      <c r="F141" s="78" t="s">
        <v>32</v>
      </c>
      <c r="G141" s="45"/>
      <c r="H141" s="45"/>
    </row>
    <row r="142" spans="1:8" ht="15" x14ac:dyDescent="0.2">
      <c r="A142" s="70" t="str">
        <f>IF(FP="FP-03","41601","40501")</f>
        <v>40501</v>
      </c>
      <c r="B142" s="71" t="str">
        <f>IF(FP="FP-03","Continuous cold recylced aphalt base","Open-graded asphalt friction course")</f>
        <v>Open-graded asphalt friction course</v>
      </c>
      <c r="C142" s="245">
        <f>IF(Units="US CUSTOMARY",(VLOOKUP(A141,'VLookup table'!A42:G50,6)),(VLOOKUP(A141,'VLookup table'!A42:G50,7)))</f>
        <v>2.4</v>
      </c>
      <c r="D142" s="75"/>
      <c r="E142" s="73"/>
      <c r="F142" s="246" t="str">
        <f>IF(ISNUMBER(D142),+C$142*D142, "-")</f>
        <v>-</v>
      </c>
      <c r="G142" s="152"/>
      <c r="H142" s="45"/>
    </row>
    <row r="143" spans="1:8" ht="26.25" customHeight="1" x14ac:dyDescent="0.2">
      <c r="A143" s="312" t="str">
        <f>IF(FP="FP-03","Section 418 - Foamed Asphalt Stabilized Base - not in FP (in SCRs)","Not applicable")</f>
        <v>Not applicable</v>
      </c>
      <c r="B143" s="314"/>
      <c r="C143" s="162" t="s">
        <v>89</v>
      </c>
      <c r="D143" s="163" t="e">
        <f>IF(Units="US CUSTOMARY", (VLOOKUP(A143,'VLookup table'!A49:G54,4)),(VLOOKUP(A143,'VLookup table'!A49:G54,5)))</f>
        <v>#N/A</v>
      </c>
      <c r="E143" s="164"/>
      <c r="F143" s="165" t="s">
        <v>32</v>
      </c>
      <c r="G143" s="152"/>
      <c r="H143" s="45"/>
    </row>
    <row r="144" spans="1:8" ht="15" x14ac:dyDescent="0.2">
      <c r="A144" s="70" t="str">
        <f>IF(FP="FP-03","41801","")</f>
        <v/>
      </c>
      <c r="B144" s="71" t="str">
        <f>IF(FP="FP-03","Foamed asphalt stabilized base course","")</f>
        <v/>
      </c>
      <c r="C144" s="245" t="e">
        <f>IF(Units="US CUSTOMARY",(VLOOKUP(A143,'VLookup table'!A49:G53,6)),(VLOOKUP(A143,'VLookup table'!A49:G53,7)))</f>
        <v>#N/A</v>
      </c>
      <c r="D144" s="75"/>
      <c r="E144" s="73"/>
      <c r="F144" s="246" t="str">
        <f>IF(ISNUMBER(D144),+C$144*D144, "-")</f>
        <v>-</v>
      </c>
      <c r="G144" s="152"/>
      <c r="H144" s="49"/>
    </row>
    <row r="145" spans="1:8" x14ac:dyDescent="0.2">
      <c r="A145" s="68" t="str">
        <f>IF(FP="FP-03","Section 501 - Rigid pavement","Not applicable")</f>
        <v>Not applicable</v>
      </c>
      <c r="B145" s="69"/>
      <c r="C145" s="79" t="s">
        <v>89</v>
      </c>
      <c r="D145" s="82" t="e">
        <f>IF(Units="US CUSTOMARY", (VLOOKUP(A146,'VLookup table'!A54:G56,4)),(VLOOKUP(A146,'VLookup table'!A54:G56,5)))</f>
        <v>#N/A</v>
      </c>
      <c r="E145" s="72"/>
      <c r="F145" s="78" t="s">
        <v>32</v>
      </c>
      <c r="G145" s="50"/>
      <c r="H145" s="51"/>
    </row>
    <row r="146" spans="1:8" x14ac:dyDescent="0.2">
      <c r="A146" s="199" t="str">
        <f>IF(FP="FP-03","50101","")</f>
        <v/>
      </c>
      <c r="B146" s="191" t="str">
        <f>IF(FP="FP-03","Reinforced rigid pavement","")</f>
        <v/>
      </c>
      <c r="C146" s="304" t="e">
        <f>IF(Units="US CUSTOMARY",(VLOOKUP(A146,'VLookup table'!A54:G56,6)),(VLOOKUP(A146,'VLookup table'!A54:G56,7)))</f>
        <v>#N/A</v>
      </c>
      <c r="D146" s="200"/>
      <c r="E146" s="201"/>
      <c r="F146" s="240" t="str">
        <f>IF(ISNUMBER(D146),+C$146*D146, "-")</f>
        <v>-</v>
      </c>
      <c r="G146" s="50"/>
      <c r="H146" s="51"/>
    </row>
    <row r="147" spans="1:8" x14ac:dyDescent="0.2">
      <c r="A147" s="199" t="str">
        <f>IF(FP="FP-03","50102","")</f>
        <v/>
      </c>
      <c r="B147" s="191" t="str">
        <f>IF(FP="FP-03","Plain rigid pavement","")</f>
        <v/>
      </c>
      <c r="C147" s="305"/>
      <c r="D147" s="200"/>
      <c r="E147" s="201"/>
      <c r="F147" s="240" t="str">
        <f>IF(ISNUMBER(D147),+C$146*D147, "-")</f>
        <v>-</v>
      </c>
      <c r="G147" s="50"/>
      <c r="H147" s="51"/>
    </row>
    <row r="148" spans="1:8" x14ac:dyDescent="0.2">
      <c r="A148" s="47"/>
      <c r="B148" s="47"/>
      <c r="C148" s="47"/>
      <c r="D148" s="48"/>
      <c r="E148" s="48"/>
      <c r="F148" s="49"/>
      <c r="G148" s="49"/>
      <c r="H148" s="49"/>
    </row>
    <row r="149" spans="1:8" x14ac:dyDescent="0.2">
      <c r="A149" s="47"/>
      <c r="B149" s="47"/>
      <c r="C149" s="47"/>
      <c r="D149" s="48"/>
      <c r="E149" s="48"/>
      <c r="F149" s="49"/>
      <c r="G149" s="49"/>
      <c r="H149" s="49"/>
    </row>
    <row r="150" spans="1:8" x14ac:dyDescent="0.2">
      <c r="A150" s="209"/>
      <c r="B150" s="216"/>
      <c r="C150" s="217"/>
      <c r="D150" s="218" t="s">
        <v>144</v>
      </c>
      <c r="E150" s="217"/>
      <c r="F150" s="219">
        <f>SUM(F78:F127)+SUM(F141:F147)</f>
        <v>0</v>
      </c>
      <c r="G150" s="18"/>
      <c r="H150" s="18"/>
    </row>
    <row r="151" spans="1:8" ht="4.5" customHeight="1" x14ac:dyDescent="0.2">
      <c r="A151" s="18"/>
      <c r="B151" s="220"/>
      <c r="C151" s="44"/>
      <c r="D151" s="46"/>
      <c r="E151" s="46"/>
      <c r="F151" s="221"/>
      <c r="G151" s="45"/>
      <c r="H151" s="45"/>
    </row>
    <row r="152" spans="1:8" x14ac:dyDescent="0.2">
      <c r="A152" s="18"/>
      <c r="B152" s="222"/>
      <c r="C152" s="47"/>
      <c r="D152" s="211" t="s">
        <v>140</v>
      </c>
      <c r="E152" s="52"/>
      <c r="F152" s="252"/>
      <c r="G152" s="45"/>
      <c r="H152" s="45"/>
    </row>
    <row r="153" spans="1:8" ht="7.5" customHeight="1" x14ac:dyDescent="0.2">
      <c r="A153" s="18"/>
      <c r="B153" s="223"/>
      <c r="C153" s="47"/>
      <c r="D153" s="215"/>
      <c r="E153" s="52"/>
      <c r="F153" s="221"/>
      <c r="G153" s="45"/>
      <c r="H153" s="45"/>
    </row>
    <row r="154" spans="1:8" x14ac:dyDescent="0.2">
      <c r="A154" s="18"/>
      <c r="B154" s="223"/>
      <c r="C154" s="47"/>
      <c r="D154" s="211" t="s">
        <v>141</v>
      </c>
      <c r="E154" s="52"/>
      <c r="F154" s="224" t="str">
        <f>IF(F152&lt;&gt;"",F152*1.6,"-")</f>
        <v>-</v>
      </c>
      <c r="G154" s="45"/>
      <c r="H154" s="45"/>
    </row>
    <row r="155" spans="1:8" ht="5.25" customHeight="1" x14ac:dyDescent="0.2">
      <c r="A155" s="18"/>
      <c r="B155" s="223"/>
      <c r="C155" s="47"/>
      <c r="D155" s="215"/>
      <c r="E155" s="52"/>
      <c r="F155" s="221"/>
      <c r="G155" s="45"/>
      <c r="H155" s="45"/>
    </row>
    <row r="156" spans="1:8" x14ac:dyDescent="0.2">
      <c r="A156" s="47"/>
      <c r="B156" s="223"/>
      <c r="C156" s="47"/>
      <c r="D156" s="212" t="s">
        <v>142</v>
      </c>
      <c r="E156" s="48"/>
      <c r="F156" s="225" t="str">
        <f>IF(F150&lt;&gt;0,(1.6-1.1)*(F150*F152),"-")</f>
        <v>-</v>
      </c>
      <c r="G156" s="49"/>
      <c r="H156" s="49"/>
    </row>
    <row r="157" spans="1:8" ht="7.5" customHeight="1" x14ac:dyDescent="0.2">
      <c r="A157" s="47"/>
      <c r="B157" s="223"/>
      <c r="C157" s="47"/>
      <c r="D157" s="48"/>
      <c r="E157" s="48"/>
      <c r="F157" s="221"/>
      <c r="G157" s="53"/>
      <c r="H157" s="54"/>
    </row>
    <row r="158" spans="1:8" x14ac:dyDescent="0.2">
      <c r="A158" s="47"/>
      <c r="B158" s="223"/>
      <c r="C158" s="47"/>
      <c r="D158" s="212" t="s">
        <v>143</v>
      </c>
      <c r="E158" s="48"/>
      <c r="F158" s="253"/>
      <c r="G158" s="53"/>
      <c r="H158" s="54"/>
    </row>
    <row r="159" spans="1:8" ht="6.75" customHeight="1" x14ac:dyDescent="0.2">
      <c r="A159" s="47"/>
      <c r="B159" s="223"/>
      <c r="C159" s="47"/>
      <c r="D159" s="48"/>
      <c r="E159" s="48"/>
      <c r="F159" s="221"/>
      <c r="G159" s="53"/>
      <c r="H159" s="54"/>
    </row>
    <row r="160" spans="1:8" ht="18.75" customHeight="1" x14ac:dyDescent="0.2">
      <c r="A160" s="47"/>
      <c r="B160" s="226"/>
      <c r="C160" s="227"/>
      <c r="D160" s="228" t="s">
        <v>145</v>
      </c>
      <c r="E160" s="229"/>
      <c r="F160" s="230" t="str">
        <f>IF(F158&lt;&gt;"",(F156*F158)/100,"$0.00")</f>
        <v>$0.00</v>
      </c>
      <c r="G160" s="53"/>
      <c r="H160" s="54"/>
    </row>
    <row r="161" spans="1:8" ht="18.75" customHeight="1" x14ac:dyDescent="0.2">
      <c r="A161" s="47"/>
      <c r="B161" s="47"/>
      <c r="C161" s="47"/>
      <c r="D161" s="213"/>
      <c r="E161" s="48"/>
      <c r="F161" s="214"/>
      <c r="G161" s="53"/>
      <c r="H161" s="54"/>
    </row>
    <row r="162" spans="1:8" ht="18.75" customHeight="1" x14ac:dyDescent="0.2">
      <c r="A162" s="47"/>
      <c r="B162" s="47"/>
      <c r="C162" s="47"/>
      <c r="D162" s="213"/>
      <c r="E162" s="48"/>
      <c r="F162" s="214"/>
      <c r="G162" s="53"/>
      <c r="H162" s="54"/>
    </row>
    <row r="163" spans="1:8" x14ac:dyDescent="0.2">
      <c r="A163" s="47"/>
      <c r="B163" s="47"/>
      <c r="C163" s="47"/>
      <c r="D163" s="48"/>
      <c r="E163" s="48"/>
      <c r="F163" s="49"/>
      <c r="G163" s="53"/>
      <c r="H163" s="54"/>
    </row>
    <row r="164" spans="1:8" ht="6.75" customHeight="1" thickBot="1" x14ac:dyDescent="0.25">
      <c r="A164" s="7"/>
      <c r="B164" s="7"/>
      <c r="C164" s="7"/>
      <c r="D164" s="8"/>
      <c r="E164" s="8"/>
      <c r="F164" s="9"/>
      <c r="G164" s="14"/>
      <c r="H164" s="13"/>
    </row>
    <row r="165" spans="1:8" ht="19.5" customHeight="1" thickBot="1" x14ac:dyDescent="0.25">
      <c r="A165" s="234" t="s">
        <v>146</v>
      </c>
      <c r="B165" s="235"/>
      <c r="C165" s="235"/>
      <c r="D165" s="235"/>
      <c r="E165" s="235"/>
      <c r="F165" s="235"/>
      <c r="G165" s="235"/>
      <c r="H165" s="236"/>
    </row>
    <row r="166" spans="1:8" ht="5.25" customHeight="1" x14ac:dyDescent="0.2">
      <c r="A166" s="18"/>
      <c r="B166" s="44"/>
      <c r="C166" s="44"/>
      <c r="D166" s="45"/>
      <c r="E166" s="46"/>
      <c r="F166" s="45"/>
      <c r="G166" s="45"/>
      <c r="H166" s="45"/>
    </row>
    <row r="167" spans="1:8" x14ac:dyDescent="0.2">
      <c r="A167" s="47"/>
      <c r="B167" s="216"/>
      <c r="C167" s="217"/>
      <c r="D167" s="218" t="s">
        <v>149</v>
      </c>
      <c r="E167" s="217"/>
      <c r="F167" s="254"/>
      <c r="G167" s="53"/>
      <c r="H167" s="54"/>
    </row>
    <row r="168" spans="1:8" x14ac:dyDescent="0.2">
      <c r="A168" s="47"/>
      <c r="B168" s="220"/>
      <c r="C168" s="44"/>
      <c r="D168" s="46"/>
      <c r="E168" s="46"/>
      <c r="F168" s="221"/>
      <c r="G168" s="53"/>
      <c r="H168" s="54"/>
    </row>
    <row r="169" spans="1:8" x14ac:dyDescent="0.2">
      <c r="A169" s="47"/>
      <c r="B169" s="222"/>
      <c r="C169" s="47"/>
      <c r="D169" s="211" t="s">
        <v>147</v>
      </c>
      <c r="E169" s="52"/>
      <c r="F169" s="252"/>
      <c r="G169" s="53"/>
      <c r="H169" s="54"/>
    </row>
    <row r="170" spans="1:8" x14ac:dyDescent="0.2">
      <c r="A170" s="47"/>
      <c r="B170" s="223"/>
      <c r="C170" s="47"/>
      <c r="D170" s="215"/>
      <c r="E170" s="52"/>
      <c r="F170" s="221"/>
      <c r="G170" s="53"/>
      <c r="H170" s="54"/>
    </row>
    <row r="171" spans="1:8" x14ac:dyDescent="0.2">
      <c r="A171" s="47"/>
      <c r="B171" s="223"/>
      <c r="C171" s="47"/>
      <c r="D171" s="211" t="s">
        <v>141</v>
      </c>
      <c r="E171" s="52"/>
      <c r="F171" s="224" t="str">
        <f>IF(F169&lt;&gt;"",F169*1.6,"-")</f>
        <v>-</v>
      </c>
      <c r="G171" s="53"/>
      <c r="H171" s="54"/>
    </row>
    <row r="172" spans="1:8" x14ac:dyDescent="0.2">
      <c r="A172" s="47"/>
      <c r="B172" s="223"/>
      <c r="C172" s="47"/>
      <c r="D172" s="215"/>
      <c r="E172" s="52"/>
      <c r="F172" s="221"/>
      <c r="G172" s="53"/>
      <c r="H172" s="54"/>
    </row>
    <row r="173" spans="1:8" x14ac:dyDescent="0.2">
      <c r="A173" s="47"/>
      <c r="B173" s="223"/>
      <c r="C173" s="47"/>
      <c r="D173" s="212" t="s">
        <v>148</v>
      </c>
      <c r="E173" s="48"/>
      <c r="F173" s="225" t="str">
        <f>IF(F167&lt;&gt;0,(1.6-1.1)*(F169)*(F167*0.06),"-")</f>
        <v>-</v>
      </c>
      <c r="G173" s="53"/>
      <c r="H173" s="54"/>
    </row>
    <row r="174" spans="1:8" x14ac:dyDescent="0.2">
      <c r="A174" s="47"/>
      <c r="B174" s="223"/>
      <c r="C174" s="47"/>
      <c r="D174" s="48"/>
      <c r="E174" s="48"/>
      <c r="F174" s="221"/>
      <c r="G174" s="53"/>
      <c r="H174" s="54"/>
    </row>
    <row r="175" spans="1:8" x14ac:dyDescent="0.2">
      <c r="A175" s="47"/>
      <c r="B175" s="223"/>
      <c r="C175" s="47"/>
      <c r="D175" s="212" t="s">
        <v>143</v>
      </c>
      <c r="E175" s="48"/>
      <c r="F175" s="253"/>
      <c r="G175" s="53"/>
      <c r="H175" s="54"/>
    </row>
    <row r="176" spans="1:8" x14ac:dyDescent="0.2">
      <c r="A176" s="47"/>
      <c r="B176" s="223"/>
      <c r="C176" s="47"/>
      <c r="D176" s="48"/>
      <c r="E176" s="48"/>
      <c r="F176" s="221"/>
      <c r="G176" s="53"/>
      <c r="H176" s="54"/>
    </row>
    <row r="177" spans="1:8" x14ac:dyDescent="0.2">
      <c r="A177" s="47"/>
      <c r="B177" s="226"/>
      <c r="C177" s="227"/>
      <c r="D177" s="228" t="s">
        <v>150</v>
      </c>
      <c r="E177" s="229"/>
      <c r="F177" s="230" t="str">
        <f>IF(F175&lt;&gt;"",(F173*F175)/100,"$0.00")</f>
        <v>$0.00</v>
      </c>
      <c r="G177" s="49"/>
      <c r="H177" s="49"/>
    </row>
    <row r="178" spans="1:8" x14ac:dyDescent="0.2">
      <c r="A178" s="47"/>
      <c r="B178" s="47"/>
      <c r="C178" s="47"/>
      <c r="D178" s="48"/>
      <c r="E178" s="48"/>
      <c r="F178" s="49"/>
      <c r="G178" s="49"/>
      <c r="H178" s="49"/>
    </row>
    <row r="179" spans="1:8" x14ac:dyDescent="0.2">
      <c r="A179" s="55"/>
      <c r="B179" s="56"/>
      <c r="C179" s="56"/>
      <c r="D179" s="48"/>
      <c r="E179" s="48"/>
      <c r="F179" s="49"/>
      <c r="G179" s="49"/>
      <c r="H179" s="49"/>
    </row>
    <row r="180" spans="1:8" x14ac:dyDescent="0.2">
      <c r="A180" s="56"/>
      <c r="B180" s="56"/>
      <c r="C180" s="56"/>
      <c r="D180" s="48"/>
      <c r="E180" s="48"/>
      <c r="F180" s="49"/>
      <c r="G180" s="49"/>
      <c r="H180" s="49"/>
    </row>
    <row r="181" spans="1:8" x14ac:dyDescent="0.2">
      <c r="A181" s="56"/>
      <c r="B181" s="56"/>
      <c r="C181" s="56"/>
      <c r="D181" s="48"/>
      <c r="E181" s="48"/>
      <c r="F181" s="49"/>
      <c r="G181" s="49"/>
      <c r="H181" s="49"/>
    </row>
    <row r="182" spans="1:8" x14ac:dyDescent="0.2">
      <c r="A182" s="55"/>
      <c r="B182" s="56"/>
      <c r="C182" s="56"/>
      <c r="D182" s="48"/>
      <c r="E182" s="48"/>
      <c r="F182" s="49"/>
      <c r="G182" s="49"/>
      <c r="H182" s="49"/>
    </row>
    <row r="183" spans="1:8" x14ac:dyDescent="0.2">
      <c r="A183" s="56"/>
      <c r="B183" s="56"/>
      <c r="C183" s="56"/>
      <c r="D183" s="48"/>
      <c r="E183" s="48"/>
      <c r="F183" s="49"/>
      <c r="G183" s="49"/>
      <c r="H183" s="49"/>
    </row>
    <row r="184" spans="1:8" x14ac:dyDescent="0.2">
      <c r="A184" s="56"/>
      <c r="B184" s="56"/>
      <c r="C184" s="56"/>
      <c r="D184" s="48"/>
      <c r="E184" s="48"/>
      <c r="F184" s="49"/>
      <c r="G184" s="49"/>
      <c r="H184" s="49"/>
    </row>
    <row r="185" spans="1:8" ht="22.5" customHeight="1" x14ac:dyDescent="0.2">
      <c r="A185" s="55"/>
      <c r="B185" s="56"/>
      <c r="C185" s="56"/>
      <c r="D185" s="48"/>
      <c r="E185" s="48"/>
      <c r="F185" s="49"/>
      <c r="G185" s="49"/>
      <c r="H185" s="49"/>
    </row>
  </sheetData>
  <sheetProtection sheet="1" objects="1" scenarios="1"/>
  <dataConsolidate/>
  <mergeCells count="25">
    <mergeCell ref="C146:C147"/>
    <mergeCell ref="C122:C123"/>
    <mergeCell ref="C125:C127"/>
    <mergeCell ref="A131:H131"/>
    <mergeCell ref="B136:F136"/>
    <mergeCell ref="A141:B141"/>
    <mergeCell ref="A143:B143"/>
    <mergeCell ref="A121:B121"/>
    <mergeCell ref="A51:G51"/>
    <mergeCell ref="A67:H67"/>
    <mergeCell ref="B72:F72"/>
    <mergeCell ref="C78:C87"/>
    <mergeCell ref="C89:C97"/>
    <mergeCell ref="C99:C100"/>
    <mergeCell ref="C102:C106"/>
    <mergeCell ref="C108:C110"/>
    <mergeCell ref="C112:C113"/>
    <mergeCell ref="C115:C117"/>
    <mergeCell ref="C119:C120"/>
    <mergeCell ref="A43:H43"/>
    <mergeCell ref="A1:H1"/>
    <mergeCell ref="B6:F6"/>
    <mergeCell ref="A10:H10"/>
    <mergeCell ref="A30:H30"/>
    <mergeCell ref="A38:G38"/>
  </mergeCells>
  <dataValidations disablePrompts="1" count="12">
    <dataValidation type="whole" operator="greaterThanOrEqual" allowBlank="1" showInputMessage="1" showErrorMessage="1" error="Bid decimals set to zero._x000a__x000a_Contact Heidi Hirsbrunner (X3622)_x000a__x000a_to modify Incentive Spreadsheet." sqref="D108:D110 D112:D113 D115:D117 D119:D120 D122:D123 D125:D127 D142 D144 D146:D147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99:D100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89:D97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78:D87 D102:D106">
      <formula1>0</formula1>
    </dataValidation>
    <dataValidation type="whole" operator="greaterThanOrEqual" allowBlank="1" showInputMessage="1" showErrorMessage="1" error="Bid decimals set to zero._x000a__x000a_Contact Heidi Hirsbrunner (X3622)_x000a_                _x000a_to modify Incentive Spreadsheet." sqref="D13 D15 D17 D19 D33 D35 D21 D23 D25 D27">
      <formula1>0</formula1>
    </dataValidation>
    <dataValidation allowBlank="1" showErrorMessage="1" sqref="B81"/>
    <dataValidation allowBlank="1" sqref="B70:C70 B134:C134"/>
    <dataValidation allowBlank="1" showInputMessage="1" showErrorMessage="1" promptTitle="Enter project name" prompt="Example:  Pinto Basin Road" sqref="B6:F6"/>
    <dataValidation allowBlank="1" showInputMessage="1" showErrorMessage="1" promptTitle="Enter project number" prompt="Example:  CA FTNP JOTR 11(5)" sqref="B4:C4"/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36 D128:D130">
      <formula1>0</formula1>
    </dataValidation>
    <dataValidation type="list" showInputMessage="1" showErrorMessage="1" error="Please use drop-down menu to select a schedule" promptTitle="Choose schedule" prompt="If you have multiple schedules, then copy addtional sheet tabs and calculate incevitves separately for each schedule._x000a__x000a_Sheets tabs can be copied by left clicking the acitve tab and choosing 'Move or Copy', then clicking the 'Create Copy' checkbox." sqref="H6">
      <formula1>"  , A, B, C, D, E, F, G, W, X, Y, Z"</formula1>
    </dataValidation>
    <dataValidation type="list" allowBlank="1" showInputMessage="1" showErrorMessage="1" sqref="G6">
      <formula1>", Schedule: , Option: "</formula1>
    </dataValidation>
  </dataValidations>
  <printOptions horizontalCentered="1"/>
  <pageMargins left="0.7" right="0.7" top="0.75" bottom="0.75" header="0.3" footer="0.3"/>
  <pageSetup scale="81" fitToHeight="2" orientation="portrait" r:id="rId1"/>
  <headerFooter>
    <oddFooter>&amp;RRev. 02-08-2019</oddFooter>
  </headerFooter>
  <rowBreaks count="1" manualBreakCount="1">
    <brk id="66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J26"/>
  <sheetViews>
    <sheetView zoomScaleNormal="100" workbookViewId="0">
      <selection activeCell="B2" sqref="B2:I2"/>
    </sheetView>
  </sheetViews>
  <sheetFormatPr defaultRowHeight="15" x14ac:dyDescent="0.25"/>
  <cols>
    <col min="1" max="1" width="1.42578125" customWidth="1"/>
    <col min="2" max="2" width="14.140625" customWidth="1"/>
    <col min="3" max="3" width="26.7109375" customWidth="1"/>
    <col min="4" max="10" width="14.7109375" customWidth="1"/>
  </cols>
  <sheetData>
    <row r="1" spans="2:10" ht="6" customHeight="1" x14ac:dyDescent="0.25"/>
    <row r="2" spans="2:10" ht="15" customHeight="1" x14ac:dyDescent="0.25">
      <c r="B2" s="298" t="s">
        <v>174</v>
      </c>
      <c r="C2" s="298"/>
      <c r="D2" s="298"/>
      <c r="E2" s="298"/>
      <c r="F2" s="298"/>
      <c r="G2" s="298"/>
      <c r="H2" s="298"/>
      <c r="I2" s="298"/>
    </row>
    <row r="3" spans="2:10" ht="15" customHeight="1" x14ac:dyDescent="0.25">
      <c r="B3" s="7"/>
      <c r="C3" s="7"/>
      <c r="E3" s="11" t="s">
        <v>24</v>
      </c>
      <c r="F3" s="273" t="str">
        <f>+Sheet1!D2</f>
        <v>FP-14</v>
      </c>
      <c r="G3" s="9"/>
      <c r="H3" s="9"/>
      <c r="I3" s="9"/>
    </row>
    <row r="4" spans="2:10" ht="15" customHeight="1" x14ac:dyDescent="0.25">
      <c r="B4" s="7"/>
      <c r="C4" s="7"/>
      <c r="D4" s="7"/>
      <c r="E4" s="10"/>
      <c r="F4" s="8"/>
      <c r="G4" s="9"/>
      <c r="H4" s="9"/>
      <c r="I4" s="9"/>
    </row>
    <row r="5" spans="2:10" ht="15" customHeight="1" x14ac:dyDescent="0.25">
      <c r="B5" s="11" t="s">
        <v>3</v>
      </c>
      <c r="C5" s="255" t="str">
        <f>+Sheet1!B4</f>
        <v>Enter Project Number</v>
      </c>
      <c r="D5" s="255"/>
      <c r="E5" s="12"/>
      <c r="F5" s="12"/>
      <c r="G5" s="13"/>
      <c r="H5" s="14" t="s">
        <v>5</v>
      </c>
      <c r="I5" s="15">
        <f ca="1" xml:space="preserve"> TODAY()</f>
        <v>43503</v>
      </c>
    </row>
    <row r="6" spans="2:10" ht="5.25" customHeight="1" x14ac:dyDescent="0.25">
      <c r="B6" s="11"/>
      <c r="C6" s="255"/>
      <c r="D6" s="255"/>
      <c r="E6" s="12"/>
      <c r="F6" s="12"/>
      <c r="G6" s="13"/>
      <c r="H6" s="14"/>
      <c r="I6" s="15"/>
    </row>
    <row r="7" spans="2:10" ht="15" customHeight="1" x14ac:dyDescent="0.25">
      <c r="B7" s="11" t="s">
        <v>4</v>
      </c>
      <c r="C7" s="303" t="str">
        <f>+Sheet1!B6</f>
        <v>Enter Project name</v>
      </c>
      <c r="D7" s="303">
        <f>+Sheet1!C6</f>
        <v>0</v>
      </c>
      <c r="E7" s="303">
        <f>+Sheet1!D6</f>
        <v>0</v>
      </c>
      <c r="F7" s="303">
        <f>+Sheet1!E6</f>
        <v>0</v>
      </c>
      <c r="G7" s="303">
        <f>+Sheet1!F6</f>
        <v>0</v>
      </c>
      <c r="H7" s="259" t="s">
        <v>169</v>
      </c>
      <c r="I7" s="256" t="str">
        <f>+Sheet1!H8</f>
        <v>US CUSTOMARY</v>
      </c>
      <c r="J7" s="260"/>
    </row>
    <row r="8" spans="2:10" ht="15" customHeight="1" thickBot="1" x14ac:dyDescent="0.3">
      <c r="B8" s="11"/>
      <c r="C8" s="255"/>
      <c r="D8" s="255"/>
      <c r="E8" s="255"/>
      <c r="F8" s="255"/>
      <c r="G8" s="255"/>
      <c r="H8" s="14"/>
      <c r="I8" s="17"/>
      <c r="J8" s="260"/>
    </row>
    <row r="9" spans="2:10" ht="19.5" customHeight="1" thickBot="1" x14ac:dyDescent="0.3">
      <c r="B9" s="300" t="s">
        <v>163</v>
      </c>
      <c r="C9" s="300"/>
      <c r="D9" s="300"/>
      <c r="E9" s="300"/>
      <c r="F9" s="300"/>
      <c r="G9" s="300"/>
      <c r="H9" s="300"/>
      <c r="I9" s="300"/>
      <c r="J9" s="315"/>
    </row>
    <row r="10" spans="2:10" ht="6" customHeight="1" x14ac:dyDescent="0.25">
      <c r="B10" s="263"/>
      <c r="C10" s="263"/>
      <c r="D10" s="263"/>
      <c r="E10" s="263"/>
      <c r="F10" s="263"/>
      <c r="G10" s="263"/>
      <c r="H10" s="263"/>
      <c r="I10" s="263"/>
      <c r="J10" s="260"/>
    </row>
    <row r="11" spans="2:10" ht="15" customHeight="1" x14ac:dyDescent="0.25">
      <c r="B11" s="11"/>
      <c r="C11" s="255"/>
      <c r="D11" s="272" t="s">
        <v>171</v>
      </c>
      <c r="E11" s="272" t="s">
        <v>164</v>
      </c>
      <c r="F11" s="272" t="s">
        <v>165</v>
      </c>
      <c r="G11" s="272" t="s">
        <v>166</v>
      </c>
      <c r="H11" s="272" t="s">
        <v>167</v>
      </c>
      <c r="I11" s="272" t="s">
        <v>168</v>
      </c>
      <c r="J11" s="264"/>
    </row>
    <row r="12" spans="2:10" ht="6" customHeight="1" x14ac:dyDescent="0.25">
      <c r="B12" s="11"/>
      <c r="C12" s="255"/>
      <c r="D12" s="267"/>
      <c r="E12" s="267"/>
      <c r="F12" s="267"/>
      <c r="G12" s="267"/>
      <c r="H12" s="267"/>
      <c r="I12" s="267"/>
      <c r="J12" s="264"/>
    </row>
    <row r="13" spans="2:10" ht="15" customHeight="1" x14ac:dyDescent="0.25">
      <c r="B13" s="7"/>
      <c r="C13" s="7"/>
      <c r="D13" s="268" t="str">
        <f>+Sheet1!G6</f>
        <v xml:space="preserve">Schedule: </v>
      </c>
      <c r="E13" s="270" t="str">
        <f>+Sheet2!G6</f>
        <v xml:space="preserve">Schedule: </v>
      </c>
      <c r="F13" s="270" t="str">
        <f>+Sheet3!G6</f>
        <v xml:space="preserve">Schedule: </v>
      </c>
      <c r="G13" s="270" t="str">
        <f>+Sheet4!G6</f>
        <v xml:space="preserve">Option: </v>
      </c>
      <c r="H13" s="270" t="str">
        <f>+Sheet5!G6</f>
        <v xml:space="preserve">Option: </v>
      </c>
      <c r="I13" s="270" t="str">
        <f>+Sheet6!G6</f>
        <v xml:space="preserve">Option: </v>
      </c>
    </row>
    <row r="14" spans="2:10" x14ac:dyDescent="0.25">
      <c r="B14" s="7"/>
      <c r="C14" s="7"/>
      <c r="D14" s="269" t="str">
        <f>+Sheet1!H6</f>
        <v>A</v>
      </c>
      <c r="E14" s="270" t="str">
        <f>+Sheet2!H6</f>
        <v>B</v>
      </c>
      <c r="F14" s="270" t="str">
        <f>+Sheet3!$H$6</f>
        <v>C</v>
      </c>
      <c r="G14" s="270" t="str">
        <f>+Sheet4!$H$6</f>
        <v>X</v>
      </c>
      <c r="H14" s="270" t="str">
        <f>+Sheet5!$H$6</f>
        <v>Y</v>
      </c>
      <c r="I14" s="270" t="str">
        <f>+Sheet6!$H$6</f>
        <v>Z</v>
      </c>
      <c r="J14" s="271" t="s">
        <v>170</v>
      </c>
    </row>
    <row r="15" spans="2:10" x14ac:dyDescent="0.25">
      <c r="B15" s="274" t="s">
        <v>155</v>
      </c>
      <c r="C15" s="275"/>
      <c r="D15" s="276"/>
      <c r="E15" s="276"/>
      <c r="F15" s="276"/>
      <c r="G15" s="276"/>
      <c r="H15" s="276"/>
      <c r="I15" s="276"/>
      <c r="J15" s="277">
        <f>SUM(D15:I15)</f>
        <v>0</v>
      </c>
    </row>
    <row r="16" spans="2:10" x14ac:dyDescent="0.25">
      <c r="B16" s="293" t="s">
        <v>156</v>
      </c>
      <c r="C16" s="286"/>
      <c r="D16" s="287"/>
      <c r="E16" s="287"/>
      <c r="F16" s="287"/>
      <c r="G16" s="287"/>
      <c r="H16" s="287"/>
      <c r="I16" s="287"/>
      <c r="J16" s="288">
        <f>SUM(D16:I16)</f>
        <v>0</v>
      </c>
    </row>
    <row r="17" spans="2:10" x14ac:dyDescent="0.25">
      <c r="B17" s="289" t="s">
        <v>157</v>
      </c>
      <c r="C17" s="290"/>
      <c r="D17" s="291" t="str">
        <f>IF(ISNUMBER(D15),+D15+D16,"-")</f>
        <v>-</v>
      </c>
      <c r="E17" s="291" t="str">
        <f t="shared" ref="E17:J17" si="0">IF(ISNUMBER(E15),+E15+E16,"-")</f>
        <v>-</v>
      </c>
      <c r="F17" s="291" t="str">
        <f t="shared" si="0"/>
        <v>-</v>
      </c>
      <c r="G17" s="291" t="str">
        <f t="shared" si="0"/>
        <v>-</v>
      </c>
      <c r="H17" s="291" t="str">
        <f t="shared" si="0"/>
        <v>-</v>
      </c>
      <c r="I17" s="291" t="str">
        <f t="shared" si="0"/>
        <v>-</v>
      </c>
      <c r="J17" s="291">
        <f t="shared" si="0"/>
        <v>0</v>
      </c>
    </row>
    <row r="18" spans="2:10" x14ac:dyDescent="0.25">
      <c r="B18" s="261"/>
      <c r="D18" s="266"/>
      <c r="E18" s="266"/>
      <c r="F18" s="266"/>
      <c r="G18" s="266"/>
      <c r="H18" s="266"/>
      <c r="I18" s="266"/>
      <c r="J18" s="266"/>
    </row>
    <row r="19" spans="2:10" x14ac:dyDescent="0.25">
      <c r="B19" s="278" t="s">
        <v>158</v>
      </c>
      <c r="C19" s="275"/>
      <c r="D19" s="277">
        <f>+Sheet1!$H$38</f>
        <v>0</v>
      </c>
      <c r="E19" s="277">
        <f>+Sheet2!H38</f>
        <v>0</v>
      </c>
      <c r="F19" s="277">
        <f>+Sheet3!$H$38</f>
        <v>0</v>
      </c>
      <c r="G19" s="277">
        <f>+Sheet4!$H$38</f>
        <v>0</v>
      </c>
      <c r="H19" s="277">
        <f>+Sheet5!$H$38</f>
        <v>0</v>
      </c>
      <c r="I19" s="277">
        <f>+Sheet6!$H$38</f>
        <v>0</v>
      </c>
      <c r="J19" s="277">
        <f>SUM(D19:I19)</f>
        <v>0</v>
      </c>
    </row>
    <row r="20" spans="2:10" x14ac:dyDescent="0.25">
      <c r="B20" s="279" t="s">
        <v>159</v>
      </c>
      <c r="C20" s="280"/>
      <c r="D20" s="281">
        <f>+Sheet1!$H$51</f>
        <v>0</v>
      </c>
      <c r="E20" s="281">
        <f>+Sheet2!H51</f>
        <v>0</v>
      </c>
      <c r="F20" s="281">
        <f>+Sheet3!$H$51</f>
        <v>0</v>
      </c>
      <c r="G20" s="281">
        <f>+Sheet4!$H$51</f>
        <v>0</v>
      </c>
      <c r="H20" s="281">
        <f>+Sheet5!$H$51</f>
        <v>0</v>
      </c>
      <c r="I20" s="281">
        <f>+Sheet6!$H$51</f>
        <v>0</v>
      </c>
      <c r="J20" s="281">
        <f t="shared" ref="J20:J23" si="1">SUM(D20:I20)</f>
        <v>0</v>
      </c>
    </row>
    <row r="21" spans="2:10" x14ac:dyDescent="0.25">
      <c r="B21" s="279" t="s">
        <v>172</v>
      </c>
      <c r="C21" s="280"/>
      <c r="D21" s="281" t="str">
        <f>+Sheet1!$F$160</f>
        <v>$0.00</v>
      </c>
      <c r="E21" s="281" t="str">
        <f>+Sheet2!F160</f>
        <v>$0.00</v>
      </c>
      <c r="F21" s="281" t="str">
        <f>+Sheet3!$F$160</f>
        <v>$0.00</v>
      </c>
      <c r="G21" s="281" t="str">
        <f>+Sheet4!$F$160</f>
        <v>$0.00</v>
      </c>
      <c r="H21" s="281" t="str">
        <f>+Sheet5!$F$160</f>
        <v>$0.00</v>
      </c>
      <c r="I21" s="281" t="str">
        <f>+Sheet6!$F$160</f>
        <v>$0.00</v>
      </c>
      <c r="J21" s="281">
        <f t="shared" si="1"/>
        <v>0</v>
      </c>
    </row>
    <row r="22" spans="2:10" x14ac:dyDescent="0.25">
      <c r="B22" s="279" t="s">
        <v>173</v>
      </c>
      <c r="C22" s="280"/>
      <c r="D22" s="281" t="str">
        <f>+Sheet1!$F177</f>
        <v>$0.00</v>
      </c>
      <c r="E22" s="281" t="str">
        <f>+Sheet2!F177</f>
        <v>$0.00</v>
      </c>
      <c r="F22" s="281" t="str">
        <f>+Sheet3!$F177</f>
        <v>$0.00</v>
      </c>
      <c r="G22" s="281" t="str">
        <f>+Sheet4!$F177</f>
        <v>$0.00</v>
      </c>
      <c r="H22" s="281" t="str">
        <f>+Sheet5!$F177</f>
        <v>$0.00</v>
      </c>
      <c r="I22" s="281" t="str">
        <f>+Sheet6!$F177</f>
        <v>$0.00</v>
      </c>
      <c r="J22" s="281">
        <f t="shared" si="1"/>
        <v>0</v>
      </c>
    </row>
    <row r="23" spans="2:10" x14ac:dyDescent="0.25">
      <c r="B23" s="285" t="s">
        <v>160</v>
      </c>
      <c r="C23" s="286"/>
      <c r="D23" s="287"/>
      <c r="E23" s="287"/>
      <c r="F23" s="287"/>
      <c r="G23" s="287"/>
      <c r="H23" s="287"/>
      <c r="I23" s="287"/>
      <c r="J23" s="288">
        <f t="shared" si="1"/>
        <v>0</v>
      </c>
    </row>
    <row r="24" spans="2:10" x14ac:dyDescent="0.25">
      <c r="B24" s="289" t="s">
        <v>161</v>
      </c>
      <c r="C24" s="290"/>
      <c r="D24" s="291" t="str">
        <f>IF(ISNUMBER(D15),SUM(D19:D23),"-")</f>
        <v>-</v>
      </c>
      <c r="E24" s="291" t="str">
        <f t="shared" ref="E24:J24" si="2">IF(ISNUMBER(E15),SUM(E19:E23),"-")</f>
        <v>-</v>
      </c>
      <c r="F24" s="291" t="str">
        <f t="shared" si="2"/>
        <v>-</v>
      </c>
      <c r="G24" s="291" t="str">
        <f t="shared" si="2"/>
        <v>-</v>
      </c>
      <c r="H24" s="291" t="str">
        <f t="shared" si="2"/>
        <v>-</v>
      </c>
      <c r="I24" s="291" t="str">
        <f t="shared" si="2"/>
        <v>-</v>
      </c>
      <c r="J24" s="291">
        <f t="shared" si="2"/>
        <v>0</v>
      </c>
    </row>
    <row r="25" spans="2:10" ht="19.5" customHeight="1" thickBot="1" x14ac:dyDescent="0.3">
      <c r="B25" s="262"/>
      <c r="D25" s="265"/>
      <c r="E25" s="265"/>
      <c r="F25" s="265"/>
      <c r="G25" s="265"/>
      <c r="H25" s="265"/>
      <c r="I25" s="265"/>
      <c r="J25" s="265"/>
    </row>
    <row r="26" spans="2:10" ht="32.25" customHeight="1" thickBot="1" x14ac:dyDescent="0.3">
      <c r="B26" s="282" t="s">
        <v>162</v>
      </c>
      <c r="C26" s="283"/>
      <c r="D26" s="284" t="str">
        <f>IF(ISNUMBER(D15),(+D17+D24),"-")</f>
        <v>-</v>
      </c>
      <c r="E26" s="284" t="str">
        <f t="shared" ref="E26:J26" si="3">IF(ISNUMBER(E15),(+E17+E24),"-")</f>
        <v>-</v>
      </c>
      <c r="F26" s="284" t="str">
        <f t="shared" si="3"/>
        <v>-</v>
      </c>
      <c r="G26" s="284" t="str">
        <f t="shared" si="3"/>
        <v>-</v>
      </c>
      <c r="H26" s="284" t="str">
        <f t="shared" si="3"/>
        <v>-</v>
      </c>
      <c r="I26" s="284" t="str">
        <f t="shared" si="3"/>
        <v>-</v>
      </c>
      <c r="J26" s="292">
        <f t="shared" si="3"/>
        <v>0</v>
      </c>
    </row>
  </sheetData>
  <sheetProtection sheet="1" objects="1" scenarios="1"/>
  <mergeCells count="3">
    <mergeCell ref="B2:I2"/>
    <mergeCell ref="C7:G7"/>
    <mergeCell ref="B9:J9"/>
  </mergeCells>
  <dataValidations disablePrompts="1" count="2">
    <dataValidation allowBlank="1" showInputMessage="1" showErrorMessage="1" promptTitle="Enter project number" prompt="Example:  CA FTNP JOTR 11(5)" sqref="C5:D5"/>
    <dataValidation allowBlank="1" showInputMessage="1" showErrorMessage="1" promptTitle="Enter project name" prompt="Example:  Pinto Basin Road" sqref="C7:G7"/>
  </dataValidations>
  <pageMargins left="0.5" right="0.5" top="0.75" bottom="0.75" header="0.3" footer="0.3"/>
  <pageSetup scale="87" orientation="landscape" r:id="rId1"/>
  <headerFooter>
    <oddFooter>&amp;RRev. 02-08-2019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6"/>
  <sheetViews>
    <sheetView workbookViewId="0">
      <selection activeCell="C30" sqref="C30"/>
    </sheetView>
  </sheetViews>
  <sheetFormatPr defaultRowHeight="15" x14ac:dyDescent="0.25"/>
  <cols>
    <col min="3" max="3" width="35.140625" customWidth="1"/>
    <col min="4" max="4" width="15.85546875" customWidth="1"/>
    <col min="5" max="5" width="14.42578125" customWidth="1"/>
    <col min="6" max="6" width="8.85546875" customWidth="1"/>
    <col min="7" max="7" width="18.5703125" customWidth="1"/>
  </cols>
  <sheetData>
    <row r="1" spans="1:8" x14ac:dyDescent="0.25">
      <c r="A1" s="99" t="s">
        <v>46</v>
      </c>
      <c r="B1" s="100"/>
      <c r="C1" s="100"/>
      <c r="D1" s="100" t="s">
        <v>56</v>
      </c>
      <c r="E1" s="100" t="s">
        <v>57</v>
      </c>
      <c r="F1" s="101">
        <v>0.7</v>
      </c>
      <c r="G1" s="101">
        <v>0.77</v>
      </c>
      <c r="H1" s="102" t="s">
        <v>25</v>
      </c>
    </row>
    <row r="2" spans="1:8" x14ac:dyDescent="0.25">
      <c r="A2" s="103" t="s">
        <v>47</v>
      </c>
      <c r="B2" s="104" t="s">
        <v>48</v>
      </c>
      <c r="C2" s="105"/>
      <c r="D2" s="105" t="s">
        <v>56</v>
      </c>
      <c r="E2" s="105" t="s">
        <v>57</v>
      </c>
      <c r="F2" s="106">
        <v>0.7</v>
      </c>
      <c r="G2" s="106">
        <v>0.77</v>
      </c>
      <c r="H2" s="107" t="s">
        <v>25</v>
      </c>
    </row>
    <row r="3" spans="1:8" x14ac:dyDescent="0.25">
      <c r="A3" s="167" t="s">
        <v>49</v>
      </c>
      <c r="B3" s="168" t="s">
        <v>50</v>
      </c>
      <c r="C3" s="169"/>
      <c r="D3" s="169" t="s">
        <v>56</v>
      </c>
      <c r="E3" s="169" t="s">
        <v>57</v>
      </c>
      <c r="F3" s="170">
        <v>0.7</v>
      </c>
      <c r="G3" s="170">
        <v>0.77</v>
      </c>
      <c r="H3" s="171" t="s">
        <v>25</v>
      </c>
    </row>
    <row r="4" spans="1:8" x14ac:dyDescent="0.25">
      <c r="A4" s="99" t="s">
        <v>51</v>
      </c>
      <c r="B4" s="127"/>
      <c r="C4" s="128"/>
      <c r="D4" s="100" t="s">
        <v>58</v>
      </c>
      <c r="E4" s="100" t="s">
        <v>59</v>
      </c>
      <c r="F4" s="101">
        <v>0.3</v>
      </c>
      <c r="G4" s="101">
        <v>0.36</v>
      </c>
      <c r="H4" s="102" t="s">
        <v>27</v>
      </c>
    </row>
    <row r="5" spans="1:8" x14ac:dyDescent="0.25">
      <c r="A5" s="103" t="s">
        <v>52</v>
      </c>
      <c r="B5" s="104" t="s">
        <v>53</v>
      </c>
      <c r="C5" s="129"/>
      <c r="D5" s="105" t="s">
        <v>58</v>
      </c>
      <c r="E5" s="105" t="s">
        <v>59</v>
      </c>
      <c r="F5" s="106">
        <v>0.3</v>
      </c>
      <c r="G5" s="106">
        <v>0.36</v>
      </c>
      <c r="H5" s="107" t="s">
        <v>27</v>
      </c>
    </row>
    <row r="6" spans="1:8" x14ac:dyDescent="0.25">
      <c r="A6" s="124" t="s">
        <v>54</v>
      </c>
      <c r="B6" s="125" t="s">
        <v>55</v>
      </c>
      <c r="C6" s="126"/>
      <c r="D6" s="87" t="s">
        <v>58</v>
      </c>
      <c r="E6" s="87" t="s">
        <v>59</v>
      </c>
      <c r="F6" s="88">
        <v>0.3</v>
      </c>
      <c r="G6" s="88">
        <v>0.36</v>
      </c>
      <c r="H6" s="89" t="s">
        <v>27</v>
      </c>
    </row>
    <row r="7" spans="1:8" x14ac:dyDescent="0.25">
      <c r="A7" s="108" t="s">
        <v>60</v>
      </c>
      <c r="B7" s="100"/>
      <c r="C7" s="100"/>
      <c r="D7" s="100" t="s">
        <v>56</v>
      </c>
      <c r="E7" s="100" t="s">
        <v>57</v>
      </c>
      <c r="F7" s="101">
        <v>0.7</v>
      </c>
      <c r="G7" s="101">
        <v>0.77</v>
      </c>
      <c r="H7" s="102" t="s">
        <v>25</v>
      </c>
    </row>
    <row r="8" spans="1:8" x14ac:dyDescent="0.25">
      <c r="A8" s="109" t="s">
        <v>61</v>
      </c>
      <c r="B8" s="110" t="s">
        <v>62</v>
      </c>
      <c r="C8" s="110"/>
      <c r="D8" s="105" t="s">
        <v>56</v>
      </c>
      <c r="E8" s="105" t="s">
        <v>57</v>
      </c>
      <c r="F8" s="106">
        <v>0.7</v>
      </c>
      <c r="G8" s="106">
        <v>0.77</v>
      </c>
      <c r="H8" s="107" t="s">
        <v>25</v>
      </c>
    </row>
    <row r="9" spans="1:8" x14ac:dyDescent="0.25">
      <c r="A9" s="172" t="s">
        <v>63</v>
      </c>
      <c r="B9" s="173" t="s">
        <v>64</v>
      </c>
      <c r="C9" s="173"/>
      <c r="D9" s="174" t="s">
        <v>56</v>
      </c>
      <c r="E9" s="174" t="s">
        <v>57</v>
      </c>
      <c r="F9" s="175">
        <v>0.7</v>
      </c>
      <c r="G9" s="175">
        <v>0.77</v>
      </c>
      <c r="H9" s="176" t="s">
        <v>25</v>
      </c>
    </row>
    <row r="10" spans="1:8" x14ac:dyDescent="0.25">
      <c r="A10" s="109" t="s">
        <v>65</v>
      </c>
      <c r="B10" s="110" t="s">
        <v>66</v>
      </c>
      <c r="C10" s="110"/>
      <c r="D10" s="105" t="s">
        <v>56</v>
      </c>
      <c r="E10" s="105" t="s">
        <v>57</v>
      </c>
      <c r="F10" s="106">
        <v>0.7</v>
      </c>
      <c r="G10" s="106">
        <v>0.77</v>
      </c>
      <c r="H10" s="107" t="s">
        <v>25</v>
      </c>
    </row>
    <row r="11" spans="1:8" x14ac:dyDescent="0.25">
      <c r="A11" s="109" t="s">
        <v>67</v>
      </c>
      <c r="B11" s="110" t="s">
        <v>68</v>
      </c>
      <c r="C11" s="110"/>
      <c r="D11" s="105" t="s">
        <v>56</v>
      </c>
      <c r="E11" s="105" t="s">
        <v>57</v>
      </c>
      <c r="F11" s="106">
        <v>0.7</v>
      </c>
      <c r="G11" s="106">
        <v>0.77</v>
      </c>
      <c r="H11" s="107" t="s">
        <v>25</v>
      </c>
    </row>
    <row r="12" spans="1:8" x14ac:dyDescent="0.25">
      <c r="A12" s="111" t="s">
        <v>69</v>
      </c>
      <c r="B12" s="112" t="s">
        <v>68</v>
      </c>
      <c r="C12" s="112"/>
      <c r="D12" s="113" t="s">
        <v>56</v>
      </c>
      <c r="E12" s="113" t="s">
        <v>57</v>
      </c>
      <c r="F12" s="114">
        <v>0.7</v>
      </c>
      <c r="G12" s="114">
        <v>0.77</v>
      </c>
      <c r="H12" s="115" t="s">
        <v>25</v>
      </c>
    </row>
    <row r="13" spans="1:8" x14ac:dyDescent="0.25">
      <c r="A13" s="108" t="s">
        <v>70</v>
      </c>
      <c r="B13" s="100"/>
      <c r="C13" s="100"/>
      <c r="D13" s="100" t="s">
        <v>58</v>
      </c>
      <c r="E13" s="100" t="s">
        <v>59</v>
      </c>
      <c r="F13" s="101">
        <v>0.3</v>
      </c>
      <c r="G13" s="101">
        <v>0.36</v>
      </c>
      <c r="H13" s="102" t="s">
        <v>27</v>
      </c>
    </row>
    <row r="14" spans="1:8" x14ac:dyDescent="0.25">
      <c r="A14" s="109" t="s">
        <v>71</v>
      </c>
      <c r="B14" s="110" t="s">
        <v>72</v>
      </c>
      <c r="C14" s="110"/>
      <c r="D14" s="105" t="s">
        <v>58</v>
      </c>
      <c r="E14" s="105" t="s">
        <v>59</v>
      </c>
      <c r="F14" s="106">
        <v>0.3</v>
      </c>
      <c r="G14" s="106">
        <v>0.36</v>
      </c>
      <c r="H14" s="107" t="s">
        <v>27</v>
      </c>
    </row>
    <row r="15" spans="1:8" x14ac:dyDescent="0.25">
      <c r="A15" s="130" t="s">
        <v>73</v>
      </c>
      <c r="B15" s="80" t="s">
        <v>112</v>
      </c>
      <c r="C15" s="131"/>
      <c r="D15" s="91" t="s">
        <v>58</v>
      </c>
      <c r="E15" s="91" t="s">
        <v>59</v>
      </c>
      <c r="F15" s="132">
        <v>0.3</v>
      </c>
      <c r="G15" s="132">
        <v>0.36</v>
      </c>
      <c r="H15" s="92" t="s">
        <v>27</v>
      </c>
    </row>
    <row r="16" spans="1:8" x14ac:dyDescent="0.25">
      <c r="A16" s="109" t="s">
        <v>74</v>
      </c>
      <c r="B16" s="110" t="s">
        <v>75</v>
      </c>
      <c r="C16" s="110"/>
      <c r="D16" s="105" t="s">
        <v>58</v>
      </c>
      <c r="E16" s="105" t="s">
        <v>59</v>
      </c>
      <c r="F16" s="106">
        <v>0.3</v>
      </c>
      <c r="G16" s="106">
        <v>0.36</v>
      </c>
      <c r="H16" s="107" t="s">
        <v>27</v>
      </c>
    </row>
    <row r="17" spans="1:8" x14ac:dyDescent="0.25">
      <c r="A17" s="111" t="s">
        <v>76</v>
      </c>
      <c r="B17" s="112" t="s">
        <v>77</v>
      </c>
      <c r="C17" s="112"/>
      <c r="D17" s="113" t="s">
        <v>58</v>
      </c>
      <c r="E17" s="113" t="s">
        <v>59</v>
      </c>
      <c r="F17" s="114">
        <v>0.3</v>
      </c>
      <c r="G17" s="114">
        <v>0.36</v>
      </c>
      <c r="H17" s="115" t="s">
        <v>27</v>
      </c>
    </row>
    <row r="18" spans="1:8" x14ac:dyDescent="0.25">
      <c r="A18" s="116" t="s">
        <v>80</v>
      </c>
      <c r="B18" s="117"/>
      <c r="C18" s="77"/>
      <c r="D18" s="100" t="s">
        <v>58</v>
      </c>
      <c r="E18" s="100" t="s">
        <v>59</v>
      </c>
      <c r="F18" s="101">
        <v>0.15</v>
      </c>
      <c r="G18" s="101">
        <v>0.18</v>
      </c>
      <c r="H18" s="102" t="s">
        <v>27</v>
      </c>
    </row>
    <row r="19" spans="1:8" x14ac:dyDescent="0.25">
      <c r="A19" s="118" t="s">
        <v>81</v>
      </c>
      <c r="B19" s="104" t="s">
        <v>82</v>
      </c>
      <c r="C19" s="119"/>
      <c r="D19" s="105" t="s">
        <v>58</v>
      </c>
      <c r="E19" s="105" t="s">
        <v>59</v>
      </c>
      <c r="F19" s="106">
        <v>0.15</v>
      </c>
      <c r="G19" s="106">
        <v>0.18</v>
      </c>
      <c r="H19" s="107" t="s">
        <v>27</v>
      </c>
    </row>
    <row r="20" spans="1:8" x14ac:dyDescent="0.25">
      <c r="A20" s="133" t="s">
        <v>83</v>
      </c>
      <c r="B20" s="125" t="s">
        <v>84</v>
      </c>
      <c r="C20" s="134"/>
      <c r="D20" s="87" t="s">
        <v>58</v>
      </c>
      <c r="E20" s="87" t="s">
        <v>59</v>
      </c>
      <c r="F20" s="88">
        <v>0.15</v>
      </c>
      <c r="G20" s="88">
        <v>0.18</v>
      </c>
      <c r="H20" s="89" t="s">
        <v>27</v>
      </c>
    </row>
    <row r="21" spans="1:8" x14ac:dyDescent="0.25">
      <c r="A21" s="116" t="s">
        <v>92</v>
      </c>
      <c r="B21" s="137"/>
      <c r="C21" s="77"/>
      <c r="D21" s="100" t="s">
        <v>56</v>
      </c>
      <c r="E21" s="100" t="s">
        <v>57</v>
      </c>
      <c r="F21" s="101">
        <v>0.7</v>
      </c>
      <c r="G21" s="101">
        <v>0.77</v>
      </c>
      <c r="H21" s="102" t="s">
        <v>27</v>
      </c>
    </row>
    <row r="22" spans="1:8" x14ac:dyDescent="0.25">
      <c r="A22" s="118" t="s">
        <v>93</v>
      </c>
      <c r="B22" s="104" t="s">
        <v>94</v>
      </c>
      <c r="C22" s="119"/>
      <c r="D22" s="105" t="s">
        <v>56</v>
      </c>
      <c r="E22" s="105" t="s">
        <v>57</v>
      </c>
      <c r="F22" s="106">
        <v>0.7</v>
      </c>
      <c r="G22" s="106">
        <v>0.77</v>
      </c>
      <c r="H22" s="107" t="s">
        <v>27</v>
      </c>
    </row>
    <row r="23" spans="1:8" x14ac:dyDescent="0.25">
      <c r="A23" s="135" t="s">
        <v>95</v>
      </c>
      <c r="B23" s="80" t="s">
        <v>94</v>
      </c>
      <c r="C23" s="136"/>
      <c r="D23" s="91" t="s">
        <v>56</v>
      </c>
      <c r="E23" s="91" t="s">
        <v>57</v>
      </c>
      <c r="F23" s="132">
        <v>0.7</v>
      </c>
      <c r="G23" s="132">
        <v>0.77</v>
      </c>
      <c r="H23" s="92" t="s">
        <v>27</v>
      </c>
    </row>
    <row r="24" spans="1:8" x14ac:dyDescent="0.25">
      <c r="A24" s="116" t="s">
        <v>90</v>
      </c>
      <c r="B24" s="117"/>
      <c r="C24" s="77"/>
      <c r="D24" s="100" t="s">
        <v>56</v>
      </c>
      <c r="E24" s="100" t="s">
        <v>57</v>
      </c>
      <c r="F24" s="101">
        <v>2.4</v>
      </c>
      <c r="G24" s="101">
        <v>2.65</v>
      </c>
      <c r="H24" s="102" t="s">
        <v>25</v>
      </c>
    </row>
    <row r="25" spans="1:8" x14ac:dyDescent="0.25">
      <c r="A25" s="118" t="s">
        <v>85</v>
      </c>
      <c r="B25" s="104" t="s">
        <v>86</v>
      </c>
      <c r="C25" s="119"/>
      <c r="D25" s="105" t="s">
        <v>56</v>
      </c>
      <c r="E25" s="105" t="s">
        <v>57</v>
      </c>
      <c r="F25" s="106">
        <v>2.4</v>
      </c>
      <c r="G25" s="106">
        <v>2.65</v>
      </c>
      <c r="H25" s="107" t="s">
        <v>25</v>
      </c>
    </row>
    <row r="26" spans="1:8" x14ac:dyDescent="0.25">
      <c r="A26" s="177" t="s">
        <v>87</v>
      </c>
      <c r="B26" s="168" t="s">
        <v>88</v>
      </c>
      <c r="C26" s="178"/>
      <c r="D26" s="169" t="s">
        <v>56</v>
      </c>
      <c r="E26" s="169" t="s">
        <v>57</v>
      </c>
      <c r="F26" s="170">
        <v>2.4</v>
      </c>
      <c r="G26" s="170">
        <v>2.65</v>
      </c>
      <c r="H26" s="171" t="s">
        <v>25</v>
      </c>
    </row>
    <row r="27" spans="1:8" x14ac:dyDescent="0.25">
      <c r="A27" s="116" t="s">
        <v>91</v>
      </c>
      <c r="B27" s="117"/>
      <c r="C27" s="77"/>
      <c r="D27" s="100" t="s">
        <v>56</v>
      </c>
      <c r="E27" s="100" t="s">
        <v>57</v>
      </c>
      <c r="F27" s="101">
        <v>2.4</v>
      </c>
      <c r="G27" s="101">
        <v>2.65</v>
      </c>
      <c r="H27" s="102" t="s">
        <v>25</v>
      </c>
    </row>
    <row r="28" spans="1:8" x14ac:dyDescent="0.25">
      <c r="A28" s="118" t="s">
        <v>105</v>
      </c>
      <c r="B28" s="104" t="s">
        <v>110</v>
      </c>
      <c r="C28" s="119"/>
      <c r="D28" s="105" t="s">
        <v>56</v>
      </c>
      <c r="E28" s="105" t="s">
        <v>57</v>
      </c>
      <c r="F28" s="106">
        <v>2.4</v>
      </c>
      <c r="G28" s="106">
        <v>2.65</v>
      </c>
      <c r="H28" s="107" t="s">
        <v>25</v>
      </c>
    </row>
    <row r="29" spans="1:8" x14ac:dyDescent="0.25">
      <c r="A29" s="177" t="s">
        <v>107</v>
      </c>
      <c r="B29" s="168" t="s">
        <v>111</v>
      </c>
      <c r="C29" s="169"/>
      <c r="D29" s="169" t="s">
        <v>56</v>
      </c>
      <c r="E29" s="169" t="s">
        <v>57</v>
      </c>
      <c r="F29" s="170">
        <v>2.4</v>
      </c>
      <c r="G29" s="170">
        <v>2.65</v>
      </c>
      <c r="H29" s="171" t="s">
        <v>25</v>
      </c>
    </row>
    <row r="30" spans="1:8" x14ac:dyDescent="0.25">
      <c r="A30" s="120" t="s">
        <v>98</v>
      </c>
      <c r="B30" s="121"/>
      <c r="C30" s="100"/>
      <c r="D30" s="100" t="s">
        <v>56</v>
      </c>
      <c r="E30" s="100" t="s">
        <v>57</v>
      </c>
      <c r="F30" s="101">
        <v>2.4</v>
      </c>
      <c r="G30" s="101">
        <v>2.65</v>
      </c>
      <c r="H30" s="102" t="s">
        <v>27</v>
      </c>
    </row>
    <row r="31" spans="1:8" x14ac:dyDescent="0.25">
      <c r="A31" s="122" t="s">
        <v>85</v>
      </c>
      <c r="B31" s="123" t="s">
        <v>103</v>
      </c>
      <c r="C31" s="110"/>
      <c r="D31" s="105" t="s">
        <v>56</v>
      </c>
      <c r="E31" s="105" t="s">
        <v>57</v>
      </c>
      <c r="F31" s="106">
        <v>2.4</v>
      </c>
      <c r="G31" s="106">
        <v>2.65</v>
      </c>
      <c r="H31" s="107" t="s">
        <v>27</v>
      </c>
    </row>
    <row r="32" spans="1:8" x14ac:dyDescent="0.25">
      <c r="A32" s="85" t="s">
        <v>87</v>
      </c>
      <c r="B32" s="86" t="s">
        <v>99</v>
      </c>
      <c r="C32" s="87"/>
      <c r="D32" s="87" t="s">
        <v>56</v>
      </c>
      <c r="E32" s="87" t="s">
        <v>57</v>
      </c>
      <c r="F32" s="88">
        <v>2.4</v>
      </c>
      <c r="G32" s="88">
        <v>2.65</v>
      </c>
      <c r="H32" s="89" t="s">
        <v>27</v>
      </c>
    </row>
    <row r="33" spans="1:12" x14ac:dyDescent="0.25">
      <c r="A33" s="120" t="s">
        <v>96</v>
      </c>
      <c r="B33" s="121"/>
      <c r="C33" s="100"/>
      <c r="D33" s="100" t="s">
        <v>56</v>
      </c>
      <c r="E33" s="100" t="s">
        <v>57</v>
      </c>
      <c r="F33" s="101">
        <v>2.4</v>
      </c>
      <c r="G33" s="101">
        <v>2.65</v>
      </c>
      <c r="H33" s="102" t="s">
        <v>25</v>
      </c>
      <c r="I33" s="76"/>
    </row>
    <row r="34" spans="1:12" x14ac:dyDescent="0.25">
      <c r="A34" s="122" t="s">
        <v>100</v>
      </c>
      <c r="B34" s="123" t="s">
        <v>101</v>
      </c>
      <c r="C34" s="105"/>
      <c r="D34" s="105" t="s">
        <v>56</v>
      </c>
      <c r="E34" s="105" t="s">
        <v>57</v>
      </c>
      <c r="F34" s="106">
        <v>2.4</v>
      </c>
      <c r="G34" s="106">
        <v>2.65</v>
      </c>
      <c r="H34" s="107" t="s">
        <v>25</v>
      </c>
      <c r="I34" s="76"/>
    </row>
    <row r="35" spans="1:12" x14ac:dyDescent="0.25">
      <c r="A35" s="179" t="s">
        <v>102</v>
      </c>
      <c r="B35" s="180" t="s">
        <v>97</v>
      </c>
      <c r="C35" s="169"/>
      <c r="D35" s="169" t="s">
        <v>56</v>
      </c>
      <c r="E35" s="169" t="s">
        <v>57</v>
      </c>
      <c r="F35" s="170">
        <v>2.4</v>
      </c>
      <c r="G35" s="170">
        <v>2.65</v>
      </c>
      <c r="H35" s="171" t="s">
        <v>25</v>
      </c>
      <c r="I35" s="76"/>
    </row>
    <row r="36" spans="1:12" x14ac:dyDescent="0.25">
      <c r="A36" s="120" t="s">
        <v>104</v>
      </c>
      <c r="B36" s="139"/>
      <c r="C36" s="100"/>
      <c r="D36" s="105" t="s">
        <v>56</v>
      </c>
      <c r="E36" s="105" t="s">
        <v>57</v>
      </c>
      <c r="F36" s="106">
        <v>2.4</v>
      </c>
      <c r="G36" s="106">
        <v>2.65</v>
      </c>
      <c r="H36" s="102" t="s">
        <v>27</v>
      </c>
    </row>
    <row r="37" spans="1:12" x14ac:dyDescent="0.25">
      <c r="A37" s="90" t="s">
        <v>105</v>
      </c>
      <c r="B37" s="81" t="s">
        <v>106</v>
      </c>
      <c r="C37" s="91"/>
      <c r="D37" s="87" t="s">
        <v>56</v>
      </c>
      <c r="E37" s="87" t="s">
        <v>57</v>
      </c>
      <c r="F37" s="88">
        <v>2.4</v>
      </c>
      <c r="G37" s="88">
        <v>2.65</v>
      </c>
      <c r="H37" s="89" t="s">
        <v>27</v>
      </c>
      <c r="I37" s="138"/>
      <c r="J37" s="83"/>
      <c r="K37" s="83"/>
      <c r="L37" s="83"/>
    </row>
    <row r="38" spans="1:12" x14ac:dyDescent="0.25">
      <c r="A38" s="181" t="s">
        <v>108</v>
      </c>
      <c r="B38" s="182"/>
      <c r="C38" s="183"/>
      <c r="D38" s="183" t="s">
        <v>56</v>
      </c>
      <c r="E38" s="183" t="s">
        <v>57</v>
      </c>
      <c r="F38" s="185">
        <v>2.4</v>
      </c>
      <c r="G38" s="185">
        <v>2.65</v>
      </c>
      <c r="H38" s="184" t="s">
        <v>25</v>
      </c>
    </row>
    <row r="39" spans="1:12" x14ac:dyDescent="0.25">
      <c r="A39" s="140" t="s">
        <v>109</v>
      </c>
      <c r="B39" s="141" t="s">
        <v>113</v>
      </c>
      <c r="C39" s="113"/>
      <c r="D39" s="113" t="s">
        <v>56</v>
      </c>
      <c r="E39" s="113" t="s">
        <v>57</v>
      </c>
      <c r="F39" s="114">
        <v>2.4</v>
      </c>
      <c r="G39" s="114">
        <v>2.65</v>
      </c>
      <c r="H39" s="115" t="s">
        <v>25</v>
      </c>
    </row>
    <row r="40" spans="1:12" x14ac:dyDescent="0.25">
      <c r="A40" s="120" t="s">
        <v>114</v>
      </c>
      <c r="B40" s="121"/>
      <c r="C40" s="100"/>
      <c r="D40" s="105" t="s">
        <v>56</v>
      </c>
      <c r="E40" s="105" t="s">
        <v>57</v>
      </c>
      <c r="F40" s="106">
        <v>2.4</v>
      </c>
      <c r="G40" s="106">
        <v>2.65</v>
      </c>
      <c r="H40" s="102" t="s">
        <v>27</v>
      </c>
    </row>
    <row r="41" spans="1:12" x14ac:dyDescent="0.25">
      <c r="A41" s="122" t="s">
        <v>100</v>
      </c>
      <c r="B41" s="123" t="s">
        <v>115</v>
      </c>
      <c r="C41" s="105"/>
      <c r="D41" s="105" t="s">
        <v>56</v>
      </c>
      <c r="E41" s="105" t="s">
        <v>57</v>
      </c>
      <c r="F41" s="106">
        <v>2.4</v>
      </c>
      <c r="G41" s="106">
        <v>2.65</v>
      </c>
      <c r="H41" s="107" t="s">
        <v>27</v>
      </c>
    </row>
    <row r="42" spans="1:12" x14ac:dyDescent="0.25">
      <c r="A42" s="122" t="s">
        <v>102</v>
      </c>
      <c r="B42" s="123" t="s">
        <v>116</v>
      </c>
      <c r="C42" s="105"/>
      <c r="D42" s="105" t="s">
        <v>56</v>
      </c>
      <c r="E42" s="105" t="s">
        <v>57</v>
      </c>
      <c r="F42" s="106">
        <v>2.4</v>
      </c>
      <c r="G42" s="106">
        <v>2.65</v>
      </c>
      <c r="H42" s="107" t="s">
        <v>27</v>
      </c>
    </row>
    <row r="43" spans="1:12" x14ac:dyDescent="0.25">
      <c r="A43" s="85" t="s">
        <v>117</v>
      </c>
      <c r="B43" s="86" t="s">
        <v>118</v>
      </c>
      <c r="C43" s="148"/>
      <c r="D43" s="87" t="s">
        <v>56</v>
      </c>
      <c r="E43" s="87" t="s">
        <v>57</v>
      </c>
      <c r="F43" s="88">
        <v>2.4</v>
      </c>
      <c r="G43" s="88">
        <v>2.65</v>
      </c>
      <c r="H43" s="89" t="s">
        <v>27</v>
      </c>
    </row>
    <row r="44" spans="1:12" x14ac:dyDescent="0.25">
      <c r="A44" s="181" t="s">
        <v>119</v>
      </c>
      <c r="B44" s="186"/>
      <c r="C44" s="183"/>
      <c r="D44" s="183" t="s">
        <v>56</v>
      </c>
      <c r="E44" s="183" t="s">
        <v>57</v>
      </c>
      <c r="F44" s="183">
        <v>0.7</v>
      </c>
      <c r="G44" s="183">
        <v>0.77</v>
      </c>
      <c r="H44" s="184" t="s">
        <v>25</v>
      </c>
    </row>
    <row r="45" spans="1:12" x14ac:dyDescent="0.25">
      <c r="A45" s="144" t="s">
        <v>120</v>
      </c>
      <c r="B45" s="145" t="s">
        <v>121</v>
      </c>
      <c r="C45" s="97"/>
      <c r="D45" s="97" t="s">
        <v>56</v>
      </c>
      <c r="E45" s="97" t="s">
        <v>57</v>
      </c>
      <c r="F45" s="97">
        <v>0.7</v>
      </c>
      <c r="G45" s="97">
        <v>0.77</v>
      </c>
      <c r="H45" s="98" t="s">
        <v>25</v>
      </c>
    </row>
    <row r="46" spans="1:12" x14ac:dyDescent="0.25">
      <c r="A46" s="146" t="s">
        <v>122</v>
      </c>
      <c r="B46" s="147" t="s">
        <v>123</v>
      </c>
      <c r="C46" s="149"/>
      <c r="D46" s="149" t="s">
        <v>56</v>
      </c>
      <c r="E46" s="149" t="s">
        <v>57</v>
      </c>
      <c r="F46" s="149">
        <v>0.7</v>
      </c>
      <c r="G46" s="149">
        <v>0.77</v>
      </c>
      <c r="H46" s="150" t="s">
        <v>25</v>
      </c>
    </row>
    <row r="47" spans="1:12" x14ac:dyDescent="0.25">
      <c r="A47" s="142" t="s">
        <v>124</v>
      </c>
      <c r="B47" s="143"/>
      <c r="C47" s="95"/>
      <c r="D47" s="95" t="s">
        <v>56</v>
      </c>
      <c r="E47" s="95" t="s">
        <v>57</v>
      </c>
      <c r="F47" s="95">
        <v>2.4</v>
      </c>
      <c r="G47" s="95">
        <v>2.65</v>
      </c>
      <c r="H47" s="96" t="s">
        <v>27</v>
      </c>
    </row>
    <row r="48" spans="1:12" x14ac:dyDescent="0.25">
      <c r="A48" s="85" t="s">
        <v>109</v>
      </c>
      <c r="B48" s="86" t="s">
        <v>113</v>
      </c>
      <c r="C48" s="148"/>
      <c r="D48" s="148" t="s">
        <v>56</v>
      </c>
      <c r="E48" s="148" t="s">
        <v>57</v>
      </c>
      <c r="F48" s="148">
        <v>2.4</v>
      </c>
      <c r="G48" s="148">
        <v>2.65</v>
      </c>
      <c r="H48" s="151" t="s">
        <v>27</v>
      </c>
    </row>
    <row r="49" spans="1:8" x14ac:dyDescent="0.25">
      <c r="A49" s="181" t="s">
        <v>125</v>
      </c>
      <c r="B49" s="186"/>
      <c r="C49" s="183"/>
      <c r="D49" s="183" t="s">
        <v>58</v>
      </c>
      <c r="E49" s="183" t="s">
        <v>59</v>
      </c>
      <c r="F49" s="183">
        <v>0.15</v>
      </c>
      <c r="G49" s="183">
        <v>0.18</v>
      </c>
      <c r="H49" s="184" t="s">
        <v>25</v>
      </c>
    </row>
    <row r="50" spans="1:8" x14ac:dyDescent="0.25">
      <c r="A50" s="146" t="s">
        <v>126</v>
      </c>
      <c r="B50" s="147" t="s">
        <v>127</v>
      </c>
      <c r="C50" s="149"/>
      <c r="D50" s="149" t="s">
        <v>58</v>
      </c>
      <c r="E50" s="149" t="s">
        <v>59</v>
      </c>
      <c r="F50" s="149">
        <v>0.15</v>
      </c>
      <c r="G50" s="149">
        <v>0.18</v>
      </c>
      <c r="H50" s="150" t="s">
        <v>25</v>
      </c>
    </row>
    <row r="51" spans="1:8" x14ac:dyDescent="0.25">
      <c r="A51" s="181" t="s">
        <v>128</v>
      </c>
      <c r="B51" s="186"/>
      <c r="C51" s="183"/>
      <c r="D51" s="183" t="s">
        <v>58</v>
      </c>
      <c r="E51" s="183" t="s">
        <v>59</v>
      </c>
      <c r="F51" s="183">
        <v>0.3</v>
      </c>
      <c r="G51" s="183">
        <v>0.36</v>
      </c>
      <c r="H51" s="184" t="s">
        <v>25</v>
      </c>
    </row>
    <row r="52" spans="1:8" x14ac:dyDescent="0.25">
      <c r="A52" s="157" t="s">
        <v>129</v>
      </c>
      <c r="B52" s="158"/>
      <c r="C52" s="159"/>
      <c r="D52" s="159"/>
      <c r="E52" s="159"/>
      <c r="F52" s="159"/>
      <c r="G52" s="159"/>
      <c r="H52" s="160" t="s">
        <v>27</v>
      </c>
    </row>
    <row r="53" spans="1:8" x14ac:dyDescent="0.25">
      <c r="A53" s="93" t="s">
        <v>130</v>
      </c>
      <c r="B53" s="94" t="s">
        <v>130</v>
      </c>
      <c r="C53" s="155"/>
      <c r="D53" s="155"/>
      <c r="E53" s="155"/>
      <c r="F53" s="155"/>
      <c r="G53" s="155"/>
      <c r="H53" s="156" t="s">
        <v>27</v>
      </c>
    </row>
    <row r="54" spans="1:8" x14ac:dyDescent="0.25">
      <c r="A54" s="142" t="s">
        <v>131</v>
      </c>
      <c r="B54" s="143"/>
      <c r="C54" s="95"/>
      <c r="D54" s="95" t="s">
        <v>58</v>
      </c>
      <c r="E54" s="95" t="s">
        <v>59</v>
      </c>
      <c r="F54" s="95">
        <v>0.6</v>
      </c>
      <c r="G54" s="95">
        <v>0.72</v>
      </c>
      <c r="H54" s="96" t="s">
        <v>25</v>
      </c>
    </row>
    <row r="55" spans="1:8" x14ac:dyDescent="0.25">
      <c r="A55" s="187" t="s">
        <v>132</v>
      </c>
      <c r="B55" s="188" t="s">
        <v>133</v>
      </c>
      <c r="C55" s="174"/>
      <c r="D55" s="174" t="s">
        <v>58</v>
      </c>
      <c r="E55" s="174" t="s">
        <v>59</v>
      </c>
      <c r="F55" s="174">
        <v>0.6</v>
      </c>
      <c r="G55" s="174">
        <v>0.72</v>
      </c>
      <c r="H55" s="176" t="s">
        <v>25</v>
      </c>
    </row>
    <row r="56" spans="1:8" x14ac:dyDescent="0.25">
      <c r="A56" s="146" t="s">
        <v>134</v>
      </c>
      <c r="B56" s="147" t="s">
        <v>135</v>
      </c>
      <c r="C56" s="149"/>
      <c r="D56" s="149" t="s">
        <v>58</v>
      </c>
      <c r="E56" s="149" t="s">
        <v>59</v>
      </c>
      <c r="F56" s="149">
        <v>0.6</v>
      </c>
      <c r="G56" s="149">
        <v>0.72</v>
      </c>
      <c r="H56" s="150" t="s">
        <v>25</v>
      </c>
    </row>
  </sheetData>
  <autoFilter ref="H1:H56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18</vt:i4>
      </vt:variant>
    </vt:vector>
  </HeadingPairs>
  <TitlesOfParts>
    <vt:vector size="26" baseType="lpstr">
      <vt:lpstr>Sheet1</vt:lpstr>
      <vt:lpstr>Sheet2</vt:lpstr>
      <vt:lpstr>Sheet3</vt:lpstr>
      <vt:lpstr>Sheet4</vt:lpstr>
      <vt:lpstr>Sheet5</vt:lpstr>
      <vt:lpstr>Sheet6</vt:lpstr>
      <vt:lpstr>Acquisition Incentive Summary</vt:lpstr>
      <vt:lpstr>VLookup table</vt:lpstr>
      <vt:lpstr>Sheet2!FP</vt:lpstr>
      <vt:lpstr>Sheet3!FP</vt:lpstr>
      <vt:lpstr>Sheet4!FP</vt:lpstr>
      <vt:lpstr>Sheet5!FP</vt:lpstr>
      <vt:lpstr>Sheet6!FP</vt:lpstr>
      <vt:lpstr>FP</vt:lpstr>
      <vt:lpstr>Sheet1!Print_Area</vt:lpstr>
      <vt:lpstr>Sheet2!Print_Area</vt:lpstr>
      <vt:lpstr>Sheet3!Print_Area</vt:lpstr>
      <vt:lpstr>Sheet4!Print_Area</vt:lpstr>
      <vt:lpstr>Sheet5!Print_Area</vt:lpstr>
      <vt:lpstr>Sheet6!Print_Area</vt:lpstr>
      <vt:lpstr>Sheet2!Units</vt:lpstr>
      <vt:lpstr>Sheet3!Units</vt:lpstr>
      <vt:lpstr>Sheet4!Units</vt:lpstr>
      <vt:lpstr>Sheet5!Units</vt:lpstr>
      <vt:lpstr>Sheet6!Units</vt:lpstr>
      <vt:lpstr>Units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Kwock</dc:creator>
  <cp:lastModifiedBy>CFLHD</cp:lastModifiedBy>
  <cp:lastPrinted>2019-02-08T00:09:06Z</cp:lastPrinted>
  <dcterms:created xsi:type="dcterms:W3CDTF">2013-04-09T17:16:13Z</dcterms:created>
  <dcterms:modified xsi:type="dcterms:W3CDTF">2019-02-08T00:09:56Z</dcterms:modified>
</cp:coreProperties>
</file>