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w-work\d0512844\"/>
    </mc:Choice>
  </mc:AlternateContent>
  <xr:revisionPtr revIDLastSave="0" documentId="13_ncr:1_{0C033143-6590-463B-8A7D-8E36D57C769F}" xr6:coauthVersionLast="47" xr6:coauthVersionMax="47" xr10:uidLastSave="{00000000-0000-0000-0000-000000000000}"/>
  <bookViews>
    <workbookView xWindow="3120" yWindow="375" windowWidth="18000" windowHeight="12105" xr2:uid="{1DBE54B7-40A5-430F-8A69-0CF7134729F8}"/>
  </bookViews>
  <sheets>
    <sheet name="Schedule1" sheetId="1" r:id="rId1"/>
    <sheet name="Schedule2" sheetId="25" r:id="rId2"/>
    <sheet name="Schedule3" sheetId="29" r:id="rId3"/>
    <sheet name="Schedule4" sheetId="30" r:id="rId4"/>
    <sheet name="Schedule5" sheetId="31" r:id="rId5"/>
    <sheet name="Schedule6" sheetId="32" r:id="rId6"/>
    <sheet name="Acquisition Incentive Summary" sheetId="5" r:id="rId7"/>
  </sheets>
  <definedNames>
    <definedName name="Asphalt" localSheetId="0">Schedule1!$D$152</definedName>
    <definedName name="Asphalt" localSheetId="1">Schedule2!$D$152</definedName>
    <definedName name="Asphalt" localSheetId="2">Schedule3!$D$152</definedName>
    <definedName name="Asphalt" localSheetId="3">Schedule4!$D$152</definedName>
    <definedName name="Asphalt" localSheetId="4">Schedule5!$D$152</definedName>
    <definedName name="Asphalt" localSheetId="5">Schedule6!$D$152</definedName>
    <definedName name="Date">Schedule1!$F$3</definedName>
    <definedName name="FP">Schedule1!$C$2</definedName>
    <definedName name="Fuel" localSheetId="0">Schedule1!$D$140</definedName>
    <definedName name="Fuel" localSheetId="1">Schedule2!$D$140</definedName>
    <definedName name="Fuel" localSheetId="2">Schedule3!$D$140</definedName>
    <definedName name="Fuel" localSheetId="3">Schedule4!$D$140</definedName>
    <definedName name="Fuel" localSheetId="4">Schedule5!$D$140</definedName>
    <definedName name="Fuel" localSheetId="5">Schedule6!$D$140</definedName>
    <definedName name="Fuel204a">Schedule1!$C$62</definedName>
    <definedName name="Fuel204b">Schedule1!$C$68</definedName>
    <definedName name="Fuel301">Schedule1!$C$73</definedName>
    <definedName name="Fuel302">Schedule1!$C$82</definedName>
    <definedName name="Fuel308">Schedule1!$C$85</definedName>
    <definedName name="Fuel309">Schedule1!$C$89</definedName>
    <definedName name="Fuel310">Schedule1!$C$93</definedName>
    <definedName name="Fuel311">Schedule1!$C$96</definedName>
    <definedName name="Fuel401">Schedule1!$C$102</definedName>
    <definedName name="Fuel402">Schedule1!$C$105</definedName>
    <definedName name="Fuel403">Schedule1!$C$108</definedName>
    <definedName name="Fuel404">Schedule1!$C$122</definedName>
    <definedName name="Fuel405">Schedule1!$C$125</definedName>
    <definedName name="Fuel408">Schedule1!$C$127</definedName>
    <definedName name="Fuel501">Schedule1!$C$130</definedName>
    <definedName name="Material" localSheetId="0">Schedule1!$F$32</definedName>
    <definedName name="Material" localSheetId="1">Schedule2!$F$32</definedName>
    <definedName name="Material" localSheetId="2">Schedule3!$F$32</definedName>
    <definedName name="Material" localSheetId="3">Schedule4!$F$32</definedName>
    <definedName name="Material" localSheetId="4">Schedule5!$F$32</definedName>
    <definedName name="Material" localSheetId="5">Schedule6!$F$32</definedName>
    <definedName name="Materials1">Schedule1!$G$8</definedName>
    <definedName name="Materials2">Schedule1!$G$18</definedName>
    <definedName name="Materials3">Schedule1!$G$25</definedName>
    <definedName name="_xlnm.Print_Area" localSheetId="6">'Acquisition Incentive Summary'!$B$1:$J$22</definedName>
    <definedName name="_xlnm.Print_Area" localSheetId="0">Schedule1!$A$1:$F$155</definedName>
    <definedName name="_xlnm.Print_Area" localSheetId="1">Schedule2!$A$1:$F$155</definedName>
    <definedName name="_xlnm.Print_Area" localSheetId="2">Schedule3!$A$1:$F$155</definedName>
    <definedName name="_xlnm.Print_Area" localSheetId="3">Schedule4!$A$1:$F$155</definedName>
    <definedName name="_xlnm.Print_Area" localSheetId="4">Schedule5!$A$1:$F$155</definedName>
    <definedName name="_xlnm.Print_Area" localSheetId="5">Schedule6!$A$1:$F$155</definedName>
    <definedName name="ProjName">Schedule1!$B$5</definedName>
    <definedName name="ProjNum">Schedule1!$B$4</definedName>
    <definedName name="Rough">Schedule1!$G$49</definedName>
    <definedName name="Roughness" localSheetId="0">Schedule1!$F$41</definedName>
    <definedName name="Roughness" localSheetId="1">Schedule2!$F$41</definedName>
    <definedName name="Roughness" localSheetId="2">Schedule3!$F$41</definedName>
    <definedName name="Roughness" localSheetId="3">Schedule4!$F$41</definedName>
    <definedName name="Roughness" localSheetId="4">Schedule5!$F$41</definedName>
    <definedName name="Roughness" localSheetId="5">Schedule6!$F$41</definedName>
    <definedName name="SchedLet" localSheetId="1">Schedule2!$F$5</definedName>
    <definedName name="SchedLet" localSheetId="2">Schedule3!$F$5</definedName>
    <definedName name="SchedLet" localSheetId="3">Schedule4!$F$5</definedName>
    <definedName name="SchedLet" localSheetId="4">Schedule5!$F$5</definedName>
    <definedName name="SchedLet" localSheetId="5">Schedule6!$F$5</definedName>
    <definedName name="SchedLet">Schedule1!$F$5</definedName>
    <definedName name="SchedType" localSheetId="1">Schedule2!$F$4</definedName>
    <definedName name="SchedType" localSheetId="2">Schedule3!$F$4</definedName>
    <definedName name="SchedType" localSheetId="3">Schedule4!$F$4</definedName>
    <definedName name="SchedType" localSheetId="4">Schedule5!$F$4</definedName>
    <definedName name="SchedType" localSheetId="5">Schedule6!$F$4</definedName>
    <definedName name="SchedType">Schedule1!$F$4</definedName>
    <definedName name="Units">Schedule1!$F$6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0" i="32" l="1"/>
  <c r="D152" i="32" s="1"/>
  <c r="D149" i="32"/>
  <c r="C139" i="32"/>
  <c r="C138" i="32"/>
  <c r="D137" i="32"/>
  <c r="C137" i="32"/>
  <c r="C136" i="32"/>
  <c r="C135" i="32"/>
  <c r="A132" i="32"/>
  <c r="E131" i="32"/>
  <c r="A131" i="32"/>
  <c r="E130" i="32"/>
  <c r="B130" i="32"/>
  <c r="A130" i="32"/>
  <c r="D129" i="32"/>
  <c r="B129" i="32"/>
  <c r="A129" i="32"/>
  <c r="E128" i="32"/>
  <c r="E127" i="32"/>
  <c r="D126" i="32"/>
  <c r="A126" i="32"/>
  <c r="E125" i="32"/>
  <c r="B125" i="32"/>
  <c r="A125" i="32"/>
  <c r="D124" i="32"/>
  <c r="B124" i="32"/>
  <c r="A124" i="32"/>
  <c r="E123" i="32"/>
  <c r="E122" i="32"/>
  <c r="A122" i="32"/>
  <c r="D121" i="32"/>
  <c r="A121" i="32"/>
  <c r="F117" i="32"/>
  <c r="F116" i="32"/>
  <c r="B116" i="32"/>
  <c r="F115" i="32"/>
  <c r="B115" i="32"/>
  <c r="C113" i="32"/>
  <c r="E110" i="32"/>
  <c r="B110" i="32"/>
  <c r="A110" i="32"/>
  <c r="E109" i="32"/>
  <c r="B109" i="32"/>
  <c r="A109" i="32"/>
  <c r="E108" i="32"/>
  <c r="B108" i="32"/>
  <c r="A108" i="32"/>
  <c r="D107" i="32"/>
  <c r="B107" i="32"/>
  <c r="A107" i="32"/>
  <c r="E106" i="32"/>
  <c r="B106" i="32"/>
  <c r="A106" i="32"/>
  <c r="E105" i="32"/>
  <c r="B105" i="32"/>
  <c r="A105" i="32"/>
  <c r="D104" i="32"/>
  <c r="B104" i="32"/>
  <c r="A104" i="32"/>
  <c r="E103" i="32"/>
  <c r="B103" i="32"/>
  <c r="A103" i="32"/>
  <c r="E102" i="32"/>
  <c r="B102" i="32"/>
  <c r="A102" i="32"/>
  <c r="D101" i="32"/>
  <c r="B101" i="32"/>
  <c r="A101" i="32"/>
  <c r="E100" i="32"/>
  <c r="A100" i="32"/>
  <c r="E99" i="32"/>
  <c r="B99" i="32"/>
  <c r="A99" i="32"/>
  <c r="E98" i="32"/>
  <c r="A98" i="32"/>
  <c r="E97" i="32"/>
  <c r="A97" i="32"/>
  <c r="E96" i="32"/>
  <c r="A96" i="32"/>
  <c r="D95" i="32"/>
  <c r="B95" i="32"/>
  <c r="A95" i="32"/>
  <c r="E94" i="32"/>
  <c r="B94" i="32"/>
  <c r="A94" i="32"/>
  <c r="E93" i="32"/>
  <c r="B93" i="32"/>
  <c r="A93" i="32"/>
  <c r="D92" i="32"/>
  <c r="B92" i="32"/>
  <c r="A92" i="32"/>
  <c r="E91" i="32"/>
  <c r="A91" i="32"/>
  <c r="E90" i="32"/>
  <c r="A90" i="32"/>
  <c r="E89" i="32"/>
  <c r="A89" i="32"/>
  <c r="D88" i="32"/>
  <c r="A88" i="32"/>
  <c r="E87" i="32"/>
  <c r="E86" i="32"/>
  <c r="E85" i="32"/>
  <c r="D84" i="32"/>
  <c r="A84" i="32"/>
  <c r="E83" i="32"/>
  <c r="B83" i="32"/>
  <c r="A83" i="32"/>
  <c r="E82" i="32"/>
  <c r="B82" i="32"/>
  <c r="A82" i="32"/>
  <c r="D81" i="32"/>
  <c r="B81" i="32"/>
  <c r="A81" i="32"/>
  <c r="E80" i="32"/>
  <c r="B80" i="32"/>
  <c r="A80" i="32"/>
  <c r="E79" i="32"/>
  <c r="B79" i="32"/>
  <c r="A79" i="32"/>
  <c r="E78" i="32"/>
  <c r="B78" i="32"/>
  <c r="A78" i="32"/>
  <c r="E77" i="32"/>
  <c r="B77" i="32"/>
  <c r="A77" i="32"/>
  <c r="E76" i="32"/>
  <c r="B76" i="32"/>
  <c r="A76" i="32"/>
  <c r="E75" i="32"/>
  <c r="B75" i="32"/>
  <c r="A75" i="32"/>
  <c r="E74" i="32"/>
  <c r="B74" i="32"/>
  <c r="A74" i="32"/>
  <c r="E73" i="32"/>
  <c r="B73" i="32"/>
  <c r="A73" i="32"/>
  <c r="D72" i="32"/>
  <c r="B72" i="32"/>
  <c r="A72" i="32"/>
  <c r="E71" i="32"/>
  <c r="E70" i="32"/>
  <c r="E69" i="32"/>
  <c r="B69" i="32"/>
  <c r="A69" i="32"/>
  <c r="E68" i="32"/>
  <c r="B68" i="32"/>
  <c r="A68" i="32"/>
  <c r="D67" i="32"/>
  <c r="B67" i="32"/>
  <c r="A67" i="32"/>
  <c r="E66" i="32"/>
  <c r="B66" i="32"/>
  <c r="A66" i="32"/>
  <c r="E65" i="32"/>
  <c r="D135" i="32" s="1"/>
  <c r="D138" i="32" s="1"/>
  <c r="D140" i="32" s="1"/>
  <c r="B65" i="32"/>
  <c r="A65" i="32"/>
  <c r="E64" i="32"/>
  <c r="B64" i="32"/>
  <c r="A64" i="32"/>
  <c r="E63" i="32"/>
  <c r="B63" i="32"/>
  <c r="A63" i="32"/>
  <c r="E62" i="32"/>
  <c r="B62" i="32"/>
  <c r="A62" i="32"/>
  <c r="D61" i="32"/>
  <c r="B61" i="32"/>
  <c r="A61" i="32"/>
  <c r="F57" i="32"/>
  <c r="F56" i="32"/>
  <c r="B56" i="32"/>
  <c r="F55" i="32"/>
  <c r="B55" i="32"/>
  <c r="C53" i="32"/>
  <c r="A49" i="32"/>
  <c r="B48" i="32"/>
  <c r="A48" i="32"/>
  <c r="A47" i="32"/>
  <c r="B46" i="32"/>
  <c r="A46" i="32"/>
  <c r="A45" i="32"/>
  <c r="B44" i="32"/>
  <c r="A44" i="32"/>
  <c r="A43" i="32"/>
  <c r="B38" i="32"/>
  <c r="A38" i="32"/>
  <c r="B37" i="32"/>
  <c r="A37" i="32"/>
  <c r="B36" i="32"/>
  <c r="A36" i="32"/>
  <c r="C35" i="32"/>
  <c r="E29" i="32"/>
  <c r="F29" i="32" s="1"/>
  <c r="B29" i="32"/>
  <c r="A29" i="32"/>
  <c r="E28" i="32"/>
  <c r="F28" i="32" s="1"/>
  <c r="B28" i="32"/>
  <c r="A28" i="32"/>
  <c r="F27" i="32"/>
  <c r="E27" i="32"/>
  <c r="A27" i="32"/>
  <c r="E26" i="32"/>
  <c r="C26" i="32"/>
  <c r="F23" i="32"/>
  <c r="E23" i="32"/>
  <c r="B23" i="32"/>
  <c r="A23" i="32"/>
  <c r="E22" i="32"/>
  <c r="F22" i="32" s="1"/>
  <c r="B22" i="32"/>
  <c r="A22" i="32"/>
  <c r="E21" i="32"/>
  <c r="F21" i="32" s="1"/>
  <c r="B21" i="32"/>
  <c r="A21" i="32"/>
  <c r="F20" i="32"/>
  <c r="E20" i="32"/>
  <c r="B20" i="32"/>
  <c r="A20" i="32"/>
  <c r="E19" i="32"/>
  <c r="C19" i="32"/>
  <c r="F16" i="32"/>
  <c r="E16" i="32"/>
  <c r="B16" i="32"/>
  <c r="A16" i="32"/>
  <c r="E15" i="32"/>
  <c r="F15" i="32" s="1"/>
  <c r="B15" i="32"/>
  <c r="A15" i="32"/>
  <c r="E14" i="32"/>
  <c r="F14" i="32" s="1"/>
  <c r="B14" i="32"/>
  <c r="A14" i="32"/>
  <c r="F13" i="32"/>
  <c r="E13" i="32"/>
  <c r="B13" i="32"/>
  <c r="A13" i="32"/>
  <c r="E12" i="32"/>
  <c r="F12" i="32" s="1"/>
  <c r="B12" i="32"/>
  <c r="A12" i="32"/>
  <c r="E11" i="32"/>
  <c r="F11" i="32" s="1"/>
  <c r="B11" i="32"/>
  <c r="F10" i="32"/>
  <c r="E10" i="32"/>
  <c r="B10" i="32"/>
  <c r="A10" i="32"/>
  <c r="E9" i="32"/>
  <c r="C9" i="32"/>
  <c r="F6" i="32"/>
  <c r="B5" i="32"/>
  <c r="B4" i="32"/>
  <c r="F3" i="32"/>
  <c r="C2" i="32"/>
  <c r="D150" i="31"/>
  <c r="D152" i="31" s="1"/>
  <c r="D149" i="31"/>
  <c r="C139" i="31"/>
  <c r="C138" i="31"/>
  <c r="D137" i="31"/>
  <c r="C137" i="31"/>
  <c r="C136" i="31"/>
  <c r="C135" i="31"/>
  <c r="A132" i="31"/>
  <c r="E131" i="31"/>
  <c r="A131" i="31"/>
  <c r="E130" i="31"/>
  <c r="B130" i="31"/>
  <c r="A130" i="31"/>
  <c r="D129" i="31"/>
  <c r="B129" i="31"/>
  <c r="A129" i="31"/>
  <c r="E128" i="31"/>
  <c r="E127" i="31"/>
  <c r="D126" i="31"/>
  <c r="A126" i="31"/>
  <c r="E125" i="31"/>
  <c r="B125" i="31"/>
  <c r="A125" i="31"/>
  <c r="D124" i="31"/>
  <c r="B124" i="31"/>
  <c r="A124" i="31"/>
  <c r="E123" i="31"/>
  <c r="E122" i="31"/>
  <c r="D121" i="31"/>
  <c r="A121" i="31"/>
  <c r="F117" i="31"/>
  <c r="F116" i="31"/>
  <c r="B116" i="31"/>
  <c r="F115" i="31"/>
  <c r="B115" i="31"/>
  <c r="C113" i="31"/>
  <c r="E110" i="31"/>
  <c r="B110" i="31"/>
  <c r="A110" i="31"/>
  <c r="E109" i="31"/>
  <c r="B109" i="31"/>
  <c r="A109" i="31"/>
  <c r="E108" i="31"/>
  <c r="B108" i="31"/>
  <c r="A108" i="31"/>
  <c r="D107" i="31"/>
  <c r="B107" i="31"/>
  <c r="A107" i="31"/>
  <c r="E106" i="31"/>
  <c r="B106" i="31"/>
  <c r="A106" i="31"/>
  <c r="E105" i="31"/>
  <c r="B105" i="31"/>
  <c r="A105" i="31"/>
  <c r="D104" i="31"/>
  <c r="B104" i="31"/>
  <c r="A104" i="31"/>
  <c r="E103" i="31"/>
  <c r="B103" i="31"/>
  <c r="A103" i="31"/>
  <c r="E102" i="31"/>
  <c r="B102" i="31"/>
  <c r="A102" i="31"/>
  <c r="D101" i="31"/>
  <c r="B101" i="31"/>
  <c r="A101" i="31"/>
  <c r="E100" i="31"/>
  <c r="A100" i="31"/>
  <c r="E99" i="31"/>
  <c r="A99" i="31"/>
  <c r="E98" i="31"/>
  <c r="A98" i="31"/>
  <c r="E97" i="31"/>
  <c r="A97" i="31"/>
  <c r="E96" i="31"/>
  <c r="A96" i="31"/>
  <c r="D95" i="31"/>
  <c r="B95" i="31"/>
  <c r="A95" i="31"/>
  <c r="E94" i="31"/>
  <c r="B94" i="31"/>
  <c r="A94" i="31"/>
  <c r="E93" i="31"/>
  <c r="B93" i="31"/>
  <c r="A93" i="31"/>
  <c r="D92" i="31"/>
  <c r="B92" i="31"/>
  <c r="A92" i="31"/>
  <c r="E91" i="31"/>
  <c r="A91" i="31"/>
  <c r="E90" i="31"/>
  <c r="A90" i="31"/>
  <c r="E89" i="31"/>
  <c r="A89" i="31"/>
  <c r="D88" i="31"/>
  <c r="A88" i="31"/>
  <c r="E87" i="31"/>
  <c r="E86" i="31"/>
  <c r="E85" i="31"/>
  <c r="D84" i="31"/>
  <c r="A84" i="31"/>
  <c r="E83" i="31"/>
  <c r="B83" i="31"/>
  <c r="A83" i="31"/>
  <c r="E82" i="31"/>
  <c r="B82" i="31"/>
  <c r="A82" i="31"/>
  <c r="D81" i="31"/>
  <c r="B81" i="31"/>
  <c r="A81" i="31"/>
  <c r="E80" i="31"/>
  <c r="B80" i="31"/>
  <c r="A80" i="31"/>
  <c r="E79" i="31"/>
  <c r="B79" i="31"/>
  <c r="A79" i="31"/>
  <c r="E78" i="31"/>
  <c r="B78" i="31"/>
  <c r="A78" i="31"/>
  <c r="E77" i="31"/>
  <c r="B77" i="31"/>
  <c r="A77" i="31"/>
  <c r="E76" i="31"/>
  <c r="B76" i="31"/>
  <c r="A76" i="31"/>
  <c r="E75" i="31"/>
  <c r="B75" i="31"/>
  <c r="A75" i="31"/>
  <c r="E74" i="31"/>
  <c r="B74" i="31"/>
  <c r="A74" i="31"/>
  <c r="E73" i="31"/>
  <c r="B73" i="31"/>
  <c r="A73" i="31"/>
  <c r="D72" i="31"/>
  <c r="B72" i="31"/>
  <c r="A72" i="31"/>
  <c r="E71" i="31"/>
  <c r="E70" i="31"/>
  <c r="E69" i="31"/>
  <c r="B69" i="31"/>
  <c r="A69" i="31"/>
  <c r="E68" i="31"/>
  <c r="B68" i="31"/>
  <c r="A68" i="31"/>
  <c r="D67" i="31"/>
  <c r="B67" i="31"/>
  <c r="A67" i="31"/>
  <c r="E66" i="31"/>
  <c r="B66" i="31"/>
  <c r="A66" i="31"/>
  <c r="E65" i="31"/>
  <c r="B65" i="31"/>
  <c r="A65" i="31"/>
  <c r="E64" i="31"/>
  <c r="B64" i="31"/>
  <c r="A64" i="31"/>
  <c r="E63" i="31"/>
  <c r="B63" i="31"/>
  <c r="A63" i="31"/>
  <c r="E62" i="31"/>
  <c r="B62" i="31"/>
  <c r="A62" i="31"/>
  <c r="D61" i="31"/>
  <c r="B61" i="31"/>
  <c r="A61" i="31"/>
  <c r="F57" i="31"/>
  <c r="F56" i="31"/>
  <c r="B56" i="31"/>
  <c r="F55" i="31"/>
  <c r="B55" i="31"/>
  <c r="C53" i="31"/>
  <c r="A49" i="31"/>
  <c r="B48" i="31"/>
  <c r="A48" i="31"/>
  <c r="A47" i="31"/>
  <c r="B46" i="31"/>
  <c r="A46" i="31"/>
  <c r="A45" i="31"/>
  <c r="B44" i="31"/>
  <c r="A44" i="31"/>
  <c r="A43" i="31"/>
  <c r="B38" i="31"/>
  <c r="A38" i="31"/>
  <c r="B37" i="31"/>
  <c r="A37" i="31"/>
  <c r="B36" i="31"/>
  <c r="A36" i="31"/>
  <c r="C35" i="31"/>
  <c r="E29" i="31"/>
  <c r="F29" i="31" s="1"/>
  <c r="B29" i="31"/>
  <c r="A29" i="31"/>
  <c r="E28" i="31"/>
  <c r="F28" i="31" s="1"/>
  <c r="B28" i="31"/>
  <c r="A28" i="31"/>
  <c r="E27" i="31"/>
  <c r="F27" i="31" s="1"/>
  <c r="E26" i="31"/>
  <c r="C26" i="31"/>
  <c r="E23" i="31"/>
  <c r="F23" i="31" s="1"/>
  <c r="B23" i="31"/>
  <c r="A23" i="31"/>
  <c r="E22" i="31"/>
  <c r="F22" i="31" s="1"/>
  <c r="B22" i="31"/>
  <c r="A22" i="31"/>
  <c r="E21" i="31"/>
  <c r="F21" i="31" s="1"/>
  <c r="B21" i="31"/>
  <c r="A21" i="31"/>
  <c r="E20" i="31"/>
  <c r="F20" i="31" s="1"/>
  <c r="B20" i="31"/>
  <c r="A20" i="31"/>
  <c r="E19" i="31"/>
  <c r="C19" i="31"/>
  <c r="E16" i="31"/>
  <c r="F16" i="31" s="1"/>
  <c r="B16" i="31"/>
  <c r="A16" i="31"/>
  <c r="F15" i="31"/>
  <c r="E15" i="31"/>
  <c r="B15" i="31"/>
  <c r="A15" i="31"/>
  <c r="E14" i="31"/>
  <c r="F14" i="31" s="1"/>
  <c r="B14" i="31"/>
  <c r="A14" i="31"/>
  <c r="E13" i="31"/>
  <c r="F13" i="31" s="1"/>
  <c r="B13" i="31"/>
  <c r="A13" i="31"/>
  <c r="E12" i="31"/>
  <c r="F12" i="31" s="1"/>
  <c r="B12" i="31"/>
  <c r="A12" i="31"/>
  <c r="E11" i="31"/>
  <c r="F11" i="31" s="1"/>
  <c r="B11" i="31"/>
  <c r="E10" i="31"/>
  <c r="F10" i="31" s="1"/>
  <c r="B10" i="31"/>
  <c r="A10" i="31"/>
  <c r="E9" i="31"/>
  <c r="C9" i="31"/>
  <c r="F6" i="31"/>
  <c r="B5" i="31"/>
  <c r="B4" i="31"/>
  <c r="F3" i="31"/>
  <c r="C2" i="31"/>
  <c r="D150" i="30"/>
  <c r="D152" i="30" s="1"/>
  <c r="D149" i="30"/>
  <c r="C139" i="30"/>
  <c r="C138" i="30"/>
  <c r="D137" i="30"/>
  <c r="C137" i="30"/>
  <c r="C136" i="30"/>
  <c r="C135" i="30"/>
  <c r="A132" i="30"/>
  <c r="E131" i="30"/>
  <c r="A131" i="30"/>
  <c r="E130" i="30"/>
  <c r="B130" i="30"/>
  <c r="A130" i="30"/>
  <c r="D129" i="30"/>
  <c r="B129" i="30"/>
  <c r="A129" i="30"/>
  <c r="E128" i="30"/>
  <c r="E127" i="30"/>
  <c r="D126" i="30"/>
  <c r="A126" i="30"/>
  <c r="E125" i="30"/>
  <c r="B125" i="30"/>
  <c r="A125" i="30"/>
  <c r="D124" i="30"/>
  <c r="B124" i="30"/>
  <c r="A124" i="30"/>
  <c r="E123" i="30"/>
  <c r="E122" i="30"/>
  <c r="D121" i="30"/>
  <c r="A121" i="30"/>
  <c r="F117" i="30"/>
  <c r="F116" i="30"/>
  <c r="B116" i="30"/>
  <c r="F115" i="30"/>
  <c r="B115" i="30"/>
  <c r="C113" i="30"/>
  <c r="E110" i="30"/>
  <c r="B110" i="30"/>
  <c r="A110" i="30"/>
  <c r="E109" i="30"/>
  <c r="B109" i="30"/>
  <c r="A109" i="30"/>
  <c r="E108" i="30"/>
  <c r="B108" i="30"/>
  <c r="A108" i="30"/>
  <c r="D107" i="30"/>
  <c r="B107" i="30"/>
  <c r="A107" i="30"/>
  <c r="E106" i="30"/>
  <c r="B106" i="30"/>
  <c r="A106" i="30"/>
  <c r="E105" i="30"/>
  <c r="B105" i="30"/>
  <c r="A105" i="30"/>
  <c r="D104" i="30"/>
  <c r="B104" i="30"/>
  <c r="A104" i="30"/>
  <c r="E103" i="30"/>
  <c r="B103" i="30"/>
  <c r="A103" i="30"/>
  <c r="E102" i="30"/>
  <c r="B102" i="30"/>
  <c r="A102" i="30"/>
  <c r="D101" i="30"/>
  <c r="B101" i="30"/>
  <c r="A101" i="30"/>
  <c r="E100" i="30"/>
  <c r="A100" i="30"/>
  <c r="E99" i="30"/>
  <c r="A99" i="30"/>
  <c r="A98" i="30"/>
  <c r="E97" i="30"/>
  <c r="A97" i="30"/>
  <c r="E96" i="30"/>
  <c r="A96" i="30"/>
  <c r="D95" i="30"/>
  <c r="B95" i="30"/>
  <c r="A95" i="30"/>
  <c r="E94" i="30"/>
  <c r="B94" i="30"/>
  <c r="A94" i="30"/>
  <c r="E93" i="30"/>
  <c r="B93" i="30"/>
  <c r="A93" i="30"/>
  <c r="D92" i="30"/>
  <c r="B92" i="30"/>
  <c r="A92" i="30"/>
  <c r="E91" i="30"/>
  <c r="A91" i="30"/>
  <c r="E90" i="30"/>
  <c r="A90" i="30"/>
  <c r="E89" i="30"/>
  <c r="A89" i="30"/>
  <c r="D88" i="30"/>
  <c r="A88" i="30"/>
  <c r="E87" i="30"/>
  <c r="E86" i="30"/>
  <c r="E85" i="30"/>
  <c r="D84" i="30"/>
  <c r="A84" i="30"/>
  <c r="E83" i="30"/>
  <c r="B83" i="30"/>
  <c r="A83" i="30"/>
  <c r="E82" i="30"/>
  <c r="B82" i="30"/>
  <c r="A82" i="30"/>
  <c r="D81" i="30"/>
  <c r="B81" i="30"/>
  <c r="A81" i="30"/>
  <c r="E80" i="30"/>
  <c r="B80" i="30"/>
  <c r="A80" i="30"/>
  <c r="E79" i="30"/>
  <c r="B79" i="30"/>
  <c r="A79" i="30"/>
  <c r="E78" i="30"/>
  <c r="B78" i="30"/>
  <c r="A78" i="30"/>
  <c r="E77" i="30"/>
  <c r="B77" i="30"/>
  <c r="A77" i="30"/>
  <c r="E76" i="30"/>
  <c r="B76" i="30"/>
  <c r="A76" i="30"/>
  <c r="E75" i="30"/>
  <c r="B75" i="30"/>
  <c r="A75" i="30"/>
  <c r="E74" i="30"/>
  <c r="B74" i="30"/>
  <c r="A74" i="30"/>
  <c r="E73" i="30"/>
  <c r="B73" i="30"/>
  <c r="A73" i="30"/>
  <c r="D72" i="30"/>
  <c r="B72" i="30"/>
  <c r="A72" i="30"/>
  <c r="E71" i="30"/>
  <c r="E70" i="30"/>
  <c r="E69" i="30"/>
  <c r="B69" i="30"/>
  <c r="A69" i="30"/>
  <c r="E68" i="30"/>
  <c r="B68" i="30"/>
  <c r="A68" i="30"/>
  <c r="D67" i="30"/>
  <c r="B67" i="30"/>
  <c r="A67" i="30"/>
  <c r="E66" i="30"/>
  <c r="B66" i="30"/>
  <c r="A66" i="30"/>
  <c r="E65" i="30"/>
  <c r="B65" i="30"/>
  <c r="A65" i="30"/>
  <c r="E64" i="30"/>
  <c r="B64" i="30"/>
  <c r="A64" i="30"/>
  <c r="E63" i="30"/>
  <c r="B63" i="30"/>
  <c r="A63" i="30"/>
  <c r="E62" i="30"/>
  <c r="B62" i="30"/>
  <c r="A62" i="30"/>
  <c r="D61" i="30"/>
  <c r="B61" i="30"/>
  <c r="A61" i="30"/>
  <c r="F57" i="30"/>
  <c r="F56" i="30"/>
  <c r="B56" i="30"/>
  <c r="F55" i="30"/>
  <c r="B55" i="30"/>
  <c r="C53" i="30"/>
  <c r="A49" i="30"/>
  <c r="B48" i="30"/>
  <c r="A48" i="30"/>
  <c r="A47" i="30"/>
  <c r="B46" i="30"/>
  <c r="A46" i="30"/>
  <c r="A45" i="30"/>
  <c r="B44" i="30"/>
  <c r="A44" i="30"/>
  <c r="A43" i="30"/>
  <c r="B38" i="30"/>
  <c r="A38" i="30"/>
  <c r="B37" i="30"/>
  <c r="A37" i="30"/>
  <c r="B36" i="30"/>
  <c r="A36" i="30"/>
  <c r="C35" i="30"/>
  <c r="E29" i="30"/>
  <c r="F29" i="30" s="1"/>
  <c r="B29" i="30"/>
  <c r="A29" i="30"/>
  <c r="E28" i="30"/>
  <c r="F28" i="30" s="1"/>
  <c r="B28" i="30"/>
  <c r="A28" i="30"/>
  <c r="E27" i="30"/>
  <c r="F27" i="30" s="1"/>
  <c r="E26" i="30"/>
  <c r="C26" i="30"/>
  <c r="E23" i="30"/>
  <c r="F23" i="30" s="1"/>
  <c r="B23" i="30"/>
  <c r="A23" i="30"/>
  <c r="E22" i="30"/>
  <c r="F22" i="30" s="1"/>
  <c r="B22" i="30"/>
  <c r="A22" i="30"/>
  <c r="E21" i="30"/>
  <c r="F21" i="30" s="1"/>
  <c r="B21" i="30"/>
  <c r="A21" i="30"/>
  <c r="E20" i="30"/>
  <c r="F20" i="30" s="1"/>
  <c r="B20" i="30"/>
  <c r="A20" i="30"/>
  <c r="E19" i="30"/>
  <c r="C19" i="30"/>
  <c r="E16" i="30"/>
  <c r="F16" i="30" s="1"/>
  <c r="B16" i="30"/>
  <c r="A16" i="30"/>
  <c r="E15" i="30"/>
  <c r="F15" i="30" s="1"/>
  <c r="B15" i="30"/>
  <c r="A15" i="30"/>
  <c r="E14" i="30"/>
  <c r="F14" i="30" s="1"/>
  <c r="B14" i="30"/>
  <c r="A14" i="30"/>
  <c r="E13" i="30"/>
  <c r="F13" i="30" s="1"/>
  <c r="B13" i="30"/>
  <c r="A13" i="30"/>
  <c r="E12" i="30"/>
  <c r="F12" i="30" s="1"/>
  <c r="B12" i="30"/>
  <c r="A12" i="30"/>
  <c r="E11" i="30"/>
  <c r="F11" i="30" s="1"/>
  <c r="B11" i="30"/>
  <c r="E10" i="30"/>
  <c r="F10" i="30" s="1"/>
  <c r="B10" i="30"/>
  <c r="A10" i="30"/>
  <c r="E9" i="30"/>
  <c r="C9" i="30"/>
  <c r="F6" i="30"/>
  <c r="B5" i="30"/>
  <c r="B4" i="30"/>
  <c r="F3" i="30"/>
  <c r="C2" i="30"/>
  <c r="D150" i="29"/>
  <c r="D152" i="29" s="1"/>
  <c r="D149" i="29"/>
  <c r="C139" i="29"/>
  <c r="C138" i="29"/>
  <c r="D137" i="29"/>
  <c r="C137" i="29"/>
  <c r="C136" i="29"/>
  <c r="C135" i="29"/>
  <c r="A132" i="29"/>
  <c r="E131" i="29"/>
  <c r="A131" i="29"/>
  <c r="E130" i="29"/>
  <c r="B130" i="29"/>
  <c r="A130" i="29"/>
  <c r="D129" i="29"/>
  <c r="B129" i="29"/>
  <c r="A129" i="29"/>
  <c r="E128" i="29"/>
  <c r="E127" i="29"/>
  <c r="D126" i="29"/>
  <c r="A126" i="29"/>
  <c r="E125" i="29"/>
  <c r="B125" i="29"/>
  <c r="A125" i="29"/>
  <c r="D124" i="29"/>
  <c r="B124" i="29"/>
  <c r="A124" i="29"/>
  <c r="E123" i="29"/>
  <c r="E122" i="29"/>
  <c r="D121" i="29"/>
  <c r="A121" i="29"/>
  <c r="F117" i="29"/>
  <c r="F116" i="29"/>
  <c r="B116" i="29"/>
  <c r="F115" i="29"/>
  <c r="B115" i="29"/>
  <c r="C113" i="29"/>
  <c r="E110" i="29"/>
  <c r="B110" i="29"/>
  <c r="A110" i="29"/>
  <c r="E109" i="29"/>
  <c r="B109" i="29"/>
  <c r="A109" i="29"/>
  <c r="E108" i="29"/>
  <c r="B108" i="29"/>
  <c r="A108" i="29"/>
  <c r="D107" i="29"/>
  <c r="B107" i="29"/>
  <c r="A107" i="29"/>
  <c r="E106" i="29"/>
  <c r="B106" i="29"/>
  <c r="A106" i="29"/>
  <c r="E105" i="29"/>
  <c r="B105" i="29"/>
  <c r="A105" i="29"/>
  <c r="D104" i="29"/>
  <c r="B104" i="29"/>
  <c r="A104" i="29"/>
  <c r="E103" i="29"/>
  <c r="B103" i="29"/>
  <c r="A103" i="29"/>
  <c r="E102" i="29"/>
  <c r="B102" i="29"/>
  <c r="A102" i="29"/>
  <c r="D101" i="29"/>
  <c r="B101" i="29"/>
  <c r="A101" i="29"/>
  <c r="E100" i="29"/>
  <c r="A100" i="29"/>
  <c r="E99" i="29"/>
  <c r="A99" i="29"/>
  <c r="A98" i="29"/>
  <c r="E97" i="29"/>
  <c r="A97" i="29"/>
  <c r="E96" i="29"/>
  <c r="A96" i="29"/>
  <c r="D95" i="29"/>
  <c r="B95" i="29"/>
  <c r="A95" i="29"/>
  <c r="E94" i="29"/>
  <c r="B94" i="29"/>
  <c r="A94" i="29"/>
  <c r="E93" i="29"/>
  <c r="B93" i="29"/>
  <c r="A93" i="29"/>
  <c r="D92" i="29"/>
  <c r="B92" i="29"/>
  <c r="A92" i="29"/>
  <c r="E91" i="29"/>
  <c r="A91" i="29"/>
  <c r="E90" i="29"/>
  <c r="A90" i="29"/>
  <c r="E89" i="29"/>
  <c r="A89" i="29"/>
  <c r="D88" i="29"/>
  <c r="A88" i="29"/>
  <c r="E87" i="29"/>
  <c r="E86" i="29"/>
  <c r="E85" i="29"/>
  <c r="D84" i="29"/>
  <c r="A84" i="29"/>
  <c r="E83" i="29"/>
  <c r="B83" i="29"/>
  <c r="A83" i="29"/>
  <c r="E82" i="29"/>
  <c r="B82" i="29"/>
  <c r="A82" i="29"/>
  <c r="D81" i="29"/>
  <c r="B81" i="29"/>
  <c r="A81" i="29"/>
  <c r="E80" i="29"/>
  <c r="B80" i="29"/>
  <c r="A80" i="29"/>
  <c r="E79" i="29"/>
  <c r="B79" i="29"/>
  <c r="A79" i="29"/>
  <c r="E78" i="29"/>
  <c r="B78" i="29"/>
  <c r="A78" i="29"/>
  <c r="E77" i="29"/>
  <c r="B77" i="29"/>
  <c r="A77" i="29"/>
  <c r="E76" i="29"/>
  <c r="B76" i="29"/>
  <c r="A76" i="29"/>
  <c r="E75" i="29"/>
  <c r="B75" i="29"/>
  <c r="A75" i="29"/>
  <c r="E74" i="29"/>
  <c r="B74" i="29"/>
  <c r="A74" i="29"/>
  <c r="E73" i="29"/>
  <c r="B73" i="29"/>
  <c r="A73" i="29"/>
  <c r="D72" i="29"/>
  <c r="B72" i="29"/>
  <c r="A72" i="29"/>
  <c r="E71" i="29"/>
  <c r="E70" i="29"/>
  <c r="E69" i="29"/>
  <c r="B69" i="29"/>
  <c r="A69" i="29"/>
  <c r="E68" i="29"/>
  <c r="B68" i="29"/>
  <c r="A68" i="29"/>
  <c r="D67" i="29"/>
  <c r="B67" i="29"/>
  <c r="A67" i="29"/>
  <c r="E66" i="29"/>
  <c r="B66" i="29"/>
  <c r="A66" i="29"/>
  <c r="E65" i="29"/>
  <c r="B65" i="29"/>
  <c r="A65" i="29"/>
  <c r="E64" i="29"/>
  <c r="B64" i="29"/>
  <c r="A64" i="29"/>
  <c r="E63" i="29"/>
  <c r="B63" i="29"/>
  <c r="A63" i="29"/>
  <c r="E62" i="29"/>
  <c r="B62" i="29"/>
  <c r="A62" i="29"/>
  <c r="D61" i="29"/>
  <c r="B61" i="29"/>
  <c r="A61" i="29"/>
  <c r="F57" i="29"/>
  <c r="F56" i="29"/>
  <c r="B56" i="29"/>
  <c r="F55" i="29"/>
  <c r="B55" i="29"/>
  <c r="C53" i="29"/>
  <c r="A49" i="29"/>
  <c r="B48" i="29"/>
  <c r="A48" i="29"/>
  <c r="A47" i="29"/>
  <c r="B46" i="29"/>
  <c r="A46" i="29"/>
  <c r="A45" i="29"/>
  <c r="B44" i="29"/>
  <c r="A44" i="29"/>
  <c r="A43" i="29"/>
  <c r="B38" i="29"/>
  <c r="A38" i="29"/>
  <c r="B37" i="29"/>
  <c r="A37" i="29"/>
  <c r="B36" i="29"/>
  <c r="A36" i="29"/>
  <c r="C35" i="29"/>
  <c r="E29" i="29"/>
  <c r="F29" i="29" s="1"/>
  <c r="B29" i="29"/>
  <c r="A29" i="29"/>
  <c r="E28" i="29"/>
  <c r="F28" i="29" s="1"/>
  <c r="B28" i="29"/>
  <c r="A28" i="29"/>
  <c r="E27" i="29"/>
  <c r="F27" i="29" s="1"/>
  <c r="E26" i="29"/>
  <c r="C26" i="29"/>
  <c r="E23" i="29"/>
  <c r="F23" i="29" s="1"/>
  <c r="B23" i="29"/>
  <c r="A23" i="29"/>
  <c r="E22" i="29"/>
  <c r="F22" i="29" s="1"/>
  <c r="B22" i="29"/>
  <c r="A22" i="29"/>
  <c r="E21" i="29"/>
  <c r="F21" i="29" s="1"/>
  <c r="B21" i="29"/>
  <c r="A21" i="29"/>
  <c r="E20" i="29"/>
  <c r="F20" i="29" s="1"/>
  <c r="B20" i="29"/>
  <c r="A20" i="29"/>
  <c r="E19" i="29"/>
  <c r="C19" i="29"/>
  <c r="E16" i="29"/>
  <c r="F16" i="29" s="1"/>
  <c r="B16" i="29"/>
  <c r="A16" i="29"/>
  <c r="E15" i="29"/>
  <c r="F15" i="29" s="1"/>
  <c r="B15" i="29"/>
  <c r="A15" i="29"/>
  <c r="E14" i="29"/>
  <c r="F14" i="29" s="1"/>
  <c r="B14" i="29"/>
  <c r="A14" i="29"/>
  <c r="E13" i="29"/>
  <c r="F13" i="29" s="1"/>
  <c r="B13" i="29"/>
  <c r="A13" i="29"/>
  <c r="E12" i="29"/>
  <c r="F12" i="29" s="1"/>
  <c r="B12" i="29"/>
  <c r="A12" i="29"/>
  <c r="E11" i="29"/>
  <c r="F11" i="29" s="1"/>
  <c r="B11" i="29"/>
  <c r="E10" i="29"/>
  <c r="F10" i="29" s="1"/>
  <c r="B10" i="29"/>
  <c r="A10" i="29"/>
  <c r="E9" i="29"/>
  <c r="C9" i="29"/>
  <c r="F6" i="29"/>
  <c r="B5" i="29"/>
  <c r="B4" i="29"/>
  <c r="F3" i="29"/>
  <c r="C2" i="29"/>
  <c r="F20" i="5"/>
  <c r="G20" i="5"/>
  <c r="H20" i="5"/>
  <c r="I20" i="5"/>
  <c r="I22" i="5"/>
  <c r="H22" i="5"/>
  <c r="G22" i="5"/>
  <c r="F22" i="5"/>
  <c r="I13" i="5"/>
  <c r="H13" i="5"/>
  <c r="G13" i="5"/>
  <c r="F13" i="5"/>
  <c r="E13" i="5"/>
  <c r="D13" i="5"/>
  <c r="I5" i="5"/>
  <c r="C5" i="5"/>
  <c r="C4" i="5"/>
  <c r="F2" i="5"/>
  <c r="D150" i="1"/>
  <c r="D150" i="25"/>
  <c r="D152" i="25" s="1"/>
  <c r="C139" i="25"/>
  <c r="C138" i="25"/>
  <c r="C137" i="25"/>
  <c r="C136" i="25"/>
  <c r="C135" i="25"/>
  <c r="A132" i="25"/>
  <c r="A131" i="25"/>
  <c r="B130" i="25"/>
  <c r="A130" i="25"/>
  <c r="B129" i="25"/>
  <c r="A129" i="25"/>
  <c r="A126" i="25"/>
  <c r="B125" i="25"/>
  <c r="A125" i="25"/>
  <c r="B124" i="25"/>
  <c r="A124" i="25"/>
  <c r="A121" i="25"/>
  <c r="B110" i="25"/>
  <c r="A110" i="25"/>
  <c r="B109" i="25"/>
  <c r="A109" i="25"/>
  <c r="B108" i="25"/>
  <c r="A108" i="25"/>
  <c r="B107" i="25"/>
  <c r="A107" i="25"/>
  <c r="B106" i="25"/>
  <c r="A106" i="25"/>
  <c r="B105" i="25"/>
  <c r="A105" i="25"/>
  <c r="B104" i="25"/>
  <c r="A104" i="25"/>
  <c r="B103" i="25"/>
  <c r="A103" i="25"/>
  <c r="B102" i="25"/>
  <c r="A102" i="25"/>
  <c r="B101" i="25"/>
  <c r="A101" i="25"/>
  <c r="A100" i="25"/>
  <c r="A99" i="25"/>
  <c r="A98" i="25"/>
  <c r="A97" i="25"/>
  <c r="A96" i="25"/>
  <c r="B95" i="25"/>
  <c r="A95" i="25"/>
  <c r="B94" i="25"/>
  <c r="A94" i="25"/>
  <c r="B93" i="25"/>
  <c r="A93" i="25"/>
  <c r="B92" i="25"/>
  <c r="A92" i="25"/>
  <c r="A91" i="25"/>
  <c r="A90" i="25"/>
  <c r="A89" i="25"/>
  <c r="A88" i="25"/>
  <c r="A84" i="25"/>
  <c r="B83" i="25"/>
  <c r="A83" i="25"/>
  <c r="B82" i="25"/>
  <c r="A82" i="25"/>
  <c r="B81" i="25"/>
  <c r="A81" i="25"/>
  <c r="B80" i="25"/>
  <c r="A80" i="25"/>
  <c r="B79" i="25"/>
  <c r="A79" i="25"/>
  <c r="B78" i="25"/>
  <c r="A78" i="25"/>
  <c r="B77" i="25"/>
  <c r="A77" i="25"/>
  <c r="B76" i="25"/>
  <c r="A76" i="25"/>
  <c r="B75" i="25"/>
  <c r="A75" i="25"/>
  <c r="B74" i="25"/>
  <c r="A74" i="25"/>
  <c r="B73" i="25"/>
  <c r="A73" i="25"/>
  <c r="B72" i="25"/>
  <c r="A72" i="25"/>
  <c r="B69" i="25"/>
  <c r="A69" i="25"/>
  <c r="B68" i="25"/>
  <c r="A68" i="25"/>
  <c r="B67" i="25"/>
  <c r="A67" i="25"/>
  <c r="B66" i="25"/>
  <c r="A66" i="25"/>
  <c r="B65" i="25"/>
  <c r="A65" i="25"/>
  <c r="B64" i="25"/>
  <c r="A64" i="25"/>
  <c r="B63" i="25"/>
  <c r="A63" i="25"/>
  <c r="B62" i="25"/>
  <c r="A62" i="25"/>
  <c r="B61" i="25"/>
  <c r="A61" i="25"/>
  <c r="A49" i="25"/>
  <c r="B48" i="25"/>
  <c r="A48" i="25"/>
  <c r="A47" i="25"/>
  <c r="B46" i="25"/>
  <c r="A46" i="25"/>
  <c r="A45" i="25"/>
  <c r="B44" i="25"/>
  <c r="A44" i="25"/>
  <c r="A43" i="25"/>
  <c r="B38" i="25"/>
  <c r="A38" i="25"/>
  <c r="B37" i="25"/>
  <c r="A37" i="25"/>
  <c r="B36" i="25"/>
  <c r="A36" i="25"/>
  <c r="B29" i="25"/>
  <c r="A29" i="25"/>
  <c r="B28" i="25"/>
  <c r="A28" i="25"/>
  <c r="B23" i="25"/>
  <c r="A23" i="25"/>
  <c r="B22" i="25"/>
  <c r="A22" i="25"/>
  <c r="B21" i="25"/>
  <c r="A21" i="25"/>
  <c r="B20" i="25"/>
  <c r="A20" i="25"/>
  <c r="B16" i="25"/>
  <c r="A16" i="25"/>
  <c r="B15" i="25"/>
  <c r="A15" i="25"/>
  <c r="B14" i="25"/>
  <c r="A14" i="25"/>
  <c r="B13" i="25"/>
  <c r="A13" i="25"/>
  <c r="B12" i="25"/>
  <c r="A12" i="25"/>
  <c r="B11" i="25"/>
  <c r="B10" i="25"/>
  <c r="A10" i="25"/>
  <c r="F6" i="25"/>
  <c r="B5" i="25"/>
  <c r="B4" i="25"/>
  <c r="C2" i="25"/>
  <c r="D149" i="25"/>
  <c r="D137" i="25"/>
  <c r="E131" i="25"/>
  <c r="E130" i="25"/>
  <c r="D129" i="25"/>
  <c r="E128" i="25"/>
  <c r="E127" i="25"/>
  <c r="D126" i="25"/>
  <c r="E125" i="25"/>
  <c r="D124" i="25"/>
  <c r="E123" i="25"/>
  <c r="E122" i="25"/>
  <c r="D121" i="25"/>
  <c r="F117" i="25"/>
  <c r="F116" i="25"/>
  <c r="B116" i="25"/>
  <c r="F115" i="25"/>
  <c r="B115" i="25"/>
  <c r="C113" i="25"/>
  <c r="E110" i="25"/>
  <c r="E109" i="25"/>
  <c r="E108" i="25"/>
  <c r="D107" i="25"/>
  <c r="E106" i="25"/>
  <c r="E105" i="25"/>
  <c r="D104" i="25"/>
  <c r="E103" i="25"/>
  <c r="E102" i="25"/>
  <c r="D101" i="25"/>
  <c r="E100" i="25"/>
  <c r="E99" i="25"/>
  <c r="E97" i="25"/>
  <c r="E96" i="25"/>
  <c r="D95" i="25"/>
  <c r="E94" i="25"/>
  <c r="E93" i="25"/>
  <c r="D92" i="25"/>
  <c r="E91" i="25"/>
  <c r="E90" i="25"/>
  <c r="E89" i="25"/>
  <c r="D88" i="25"/>
  <c r="E87" i="25"/>
  <c r="E86" i="25"/>
  <c r="E85" i="25"/>
  <c r="D84" i="25"/>
  <c r="E83" i="25"/>
  <c r="E82" i="25"/>
  <c r="D81" i="25"/>
  <c r="E80" i="25"/>
  <c r="E79" i="25"/>
  <c r="E78" i="25"/>
  <c r="E77" i="25"/>
  <c r="E76" i="25"/>
  <c r="E75" i="25"/>
  <c r="E74" i="25"/>
  <c r="E73" i="25"/>
  <c r="D72" i="25"/>
  <c r="E71" i="25"/>
  <c r="E70" i="25"/>
  <c r="E69" i="25"/>
  <c r="E68" i="25"/>
  <c r="D67" i="25"/>
  <c r="E66" i="25"/>
  <c r="E65" i="25"/>
  <c r="E64" i="25"/>
  <c r="E63" i="25"/>
  <c r="E62" i="25"/>
  <c r="D61" i="25"/>
  <c r="F57" i="25"/>
  <c r="F56" i="25"/>
  <c r="B56" i="25"/>
  <c r="F55" i="25"/>
  <c r="B55" i="25"/>
  <c r="C53" i="25"/>
  <c r="C35" i="25"/>
  <c r="E29" i="25"/>
  <c r="F29" i="25" s="1"/>
  <c r="E26" i="25"/>
  <c r="C26" i="25"/>
  <c r="E28" i="25"/>
  <c r="F28" i="25" s="1"/>
  <c r="E22" i="25"/>
  <c r="F22" i="25" s="1"/>
  <c r="E21" i="25"/>
  <c r="F21" i="25" s="1"/>
  <c r="E19" i="25"/>
  <c r="C19" i="25"/>
  <c r="E20" i="25"/>
  <c r="F20" i="25" s="1"/>
  <c r="E15" i="25"/>
  <c r="F15" i="25" s="1"/>
  <c r="E11" i="25"/>
  <c r="F11" i="25" s="1"/>
  <c r="E9" i="25"/>
  <c r="C9" i="25"/>
  <c r="F3" i="25"/>
  <c r="D149" i="1"/>
  <c r="D137" i="1"/>
  <c r="B126" i="1"/>
  <c r="B126" i="25" s="1"/>
  <c r="B121" i="1"/>
  <c r="B121" i="29" s="1"/>
  <c r="B88" i="1"/>
  <c r="B88" i="25" s="1"/>
  <c r="B84" i="1"/>
  <c r="B84" i="25" s="1"/>
  <c r="F117" i="1"/>
  <c r="F116" i="1"/>
  <c r="B116" i="1"/>
  <c r="F115" i="1"/>
  <c r="B115" i="1"/>
  <c r="C113" i="1"/>
  <c r="B56" i="1"/>
  <c r="B55" i="1"/>
  <c r="F57" i="1"/>
  <c r="F55" i="1"/>
  <c r="F56" i="1"/>
  <c r="C53" i="1"/>
  <c r="C35" i="1"/>
  <c r="E26" i="1"/>
  <c r="C26" i="1"/>
  <c r="E9" i="1"/>
  <c r="C9" i="1"/>
  <c r="E19" i="1"/>
  <c r="C19" i="1"/>
  <c r="G25" i="1"/>
  <c r="B47" i="1" s="1"/>
  <c r="B47" i="29" s="1"/>
  <c r="G18" i="1"/>
  <c r="E20" i="1" s="1"/>
  <c r="F20" i="1" s="1"/>
  <c r="G8" i="1"/>
  <c r="E10" i="1" s="1"/>
  <c r="F10" i="1" s="1"/>
  <c r="D152" i="1"/>
  <c r="J19" i="5"/>
  <c r="C127" i="1"/>
  <c r="E127" i="1" s="1"/>
  <c r="E97" i="1"/>
  <c r="E96" i="1"/>
  <c r="E80" i="1"/>
  <c r="E79" i="1"/>
  <c r="E78" i="1"/>
  <c r="E77" i="1"/>
  <c r="E76" i="1"/>
  <c r="E75" i="1"/>
  <c r="E74" i="1"/>
  <c r="E73" i="1"/>
  <c r="E131" i="1"/>
  <c r="E130" i="1"/>
  <c r="D129" i="1"/>
  <c r="C130" i="1"/>
  <c r="C130" i="25" s="1"/>
  <c r="B128" i="1"/>
  <c r="B128" i="29" s="1"/>
  <c r="E128" i="1"/>
  <c r="E125" i="1"/>
  <c r="E123" i="1"/>
  <c r="E122" i="1"/>
  <c r="C122" i="1"/>
  <c r="C122" i="25" s="1"/>
  <c r="E106" i="1"/>
  <c r="E105" i="1"/>
  <c r="E100" i="1"/>
  <c r="E99" i="1"/>
  <c r="E98" i="1"/>
  <c r="B98" i="1"/>
  <c r="B98" i="29" s="1"/>
  <c r="B99" i="1"/>
  <c r="B99" i="25" s="1"/>
  <c r="B97" i="1"/>
  <c r="B97" i="29" s="1"/>
  <c r="B100" i="1"/>
  <c r="B100" i="25" s="1"/>
  <c r="B96" i="1"/>
  <c r="B96" i="29" s="1"/>
  <c r="E91" i="1"/>
  <c r="E90" i="1"/>
  <c r="E89" i="1"/>
  <c r="A87" i="1"/>
  <c r="A87" i="29" s="1"/>
  <c r="A86" i="1"/>
  <c r="A86" i="29" s="1"/>
  <c r="A85" i="1"/>
  <c r="A85" i="25" s="1"/>
  <c r="E83" i="1"/>
  <c r="E82" i="1"/>
  <c r="C68" i="1"/>
  <c r="C68" i="29" s="1"/>
  <c r="D67" i="1"/>
  <c r="C73" i="1"/>
  <c r="C73" i="25" s="1"/>
  <c r="B70" i="1"/>
  <c r="B70" i="25" s="1"/>
  <c r="E71" i="1"/>
  <c r="E70" i="1"/>
  <c r="E69" i="1"/>
  <c r="E68" i="1"/>
  <c r="D61" i="1"/>
  <c r="C62" i="1"/>
  <c r="C62" i="25" s="1"/>
  <c r="E66" i="1"/>
  <c r="E65" i="1"/>
  <c r="E64" i="1"/>
  <c r="E63" i="1"/>
  <c r="E62" i="1"/>
  <c r="E93" i="1"/>
  <c r="E103" i="1"/>
  <c r="E85" i="1"/>
  <c r="E87" i="1"/>
  <c r="E102" i="1"/>
  <c r="E108" i="1"/>
  <c r="B131" i="1"/>
  <c r="B131" i="29" s="1"/>
  <c r="B127" i="1"/>
  <c r="B127" i="25" s="1"/>
  <c r="A128" i="1"/>
  <c r="A128" i="29" s="1"/>
  <c r="A127" i="1"/>
  <c r="A127" i="25" s="1"/>
  <c r="D126" i="1"/>
  <c r="B123" i="1"/>
  <c r="B123" i="29" s="1"/>
  <c r="B122" i="1"/>
  <c r="B122" i="29" s="1"/>
  <c r="A123" i="1"/>
  <c r="A123" i="29" s="1"/>
  <c r="A122" i="1"/>
  <c r="A122" i="25" s="1"/>
  <c r="D121" i="1"/>
  <c r="E109" i="1"/>
  <c r="E110" i="1"/>
  <c r="C108" i="1"/>
  <c r="C108" i="29" s="1"/>
  <c r="D107" i="1"/>
  <c r="E86" i="1"/>
  <c r="E94" i="1"/>
  <c r="C89" i="1"/>
  <c r="C89" i="29" s="1"/>
  <c r="D88" i="1"/>
  <c r="B91" i="1"/>
  <c r="B91" i="29" s="1"/>
  <c r="B90" i="1"/>
  <c r="B90" i="29" s="1"/>
  <c r="B89" i="1"/>
  <c r="B89" i="29" s="1"/>
  <c r="D84" i="1"/>
  <c r="B87" i="1"/>
  <c r="B87" i="29" s="1"/>
  <c r="B86" i="1"/>
  <c r="B86" i="29" s="1"/>
  <c r="B85" i="1"/>
  <c r="B85" i="25" s="1"/>
  <c r="C85" i="1"/>
  <c r="C85" i="25" s="1"/>
  <c r="C82" i="1"/>
  <c r="C82" i="25" s="1"/>
  <c r="D81" i="1"/>
  <c r="B71" i="1"/>
  <c r="B71" i="25" s="1"/>
  <c r="A71" i="1"/>
  <c r="A71" i="25" s="1"/>
  <c r="A70" i="1"/>
  <c r="A70" i="25" s="1"/>
  <c r="A27" i="1"/>
  <c r="A27" i="29" s="1"/>
  <c r="B49" i="1"/>
  <c r="G49" i="1" s="1"/>
  <c r="F37" i="1" s="1"/>
  <c r="D92" i="1"/>
  <c r="D72" i="1"/>
  <c r="D18" i="5" a="1"/>
  <c r="I18" i="5" a="1"/>
  <c r="I17" i="5" a="1"/>
  <c r="I16" i="5" a="1"/>
  <c r="I15" i="5" a="1"/>
  <c r="H18" i="5" a="1"/>
  <c r="D10" i="5" a="1"/>
  <c r="D9" i="5" a="1"/>
  <c r="E18" i="5" a="1"/>
  <c r="I10" i="5" a="1"/>
  <c r="G10" i="5" a="1"/>
  <c r="F10" i="5" a="1"/>
  <c r="H9" i="5" a="1"/>
  <c r="G9" i="5" a="1"/>
  <c r="F9" i="5" a="1"/>
  <c r="E9" i="5" a="1"/>
  <c r="E10" i="5" a="1"/>
  <c r="F18" i="5" a="1"/>
  <c r="H10" i="5" a="1"/>
  <c r="I9" i="5" a="1"/>
  <c r="G18" i="5" a="1"/>
  <c r="F32" i="32" l="1"/>
  <c r="A122" i="31"/>
  <c r="B84" i="32"/>
  <c r="B88" i="32"/>
  <c r="B49" i="32"/>
  <c r="C73" i="32"/>
  <c r="A85" i="32"/>
  <c r="B122" i="32"/>
  <c r="B88" i="31"/>
  <c r="C62" i="32"/>
  <c r="A70" i="32"/>
  <c r="B85" i="32"/>
  <c r="B96" i="32"/>
  <c r="C122" i="32"/>
  <c r="F32" i="31"/>
  <c r="B70" i="32"/>
  <c r="C85" i="32"/>
  <c r="B89" i="32"/>
  <c r="B100" i="32"/>
  <c r="B126" i="32"/>
  <c r="D135" i="31"/>
  <c r="D138" i="31" s="1"/>
  <c r="D140" i="31" s="1"/>
  <c r="F36" i="32"/>
  <c r="C89" i="32"/>
  <c r="A123" i="32"/>
  <c r="A27" i="31"/>
  <c r="B99" i="31"/>
  <c r="A71" i="32"/>
  <c r="C82" i="32"/>
  <c r="A86" i="32"/>
  <c r="B123" i="32"/>
  <c r="A127" i="32"/>
  <c r="C130" i="32"/>
  <c r="B71" i="32"/>
  <c r="B86" i="32"/>
  <c r="B97" i="32"/>
  <c r="C108" i="32"/>
  <c r="B127" i="32"/>
  <c r="F37" i="32"/>
  <c r="B90" i="32"/>
  <c r="C127" i="32"/>
  <c r="B84" i="31"/>
  <c r="A87" i="32"/>
  <c r="B131" i="32"/>
  <c r="A122" i="30"/>
  <c r="B47" i="32"/>
  <c r="C68" i="32"/>
  <c r="B87" i="32"/>
  <c r="B98" i="32"/>
  <c r="A128" i="32"/>
  <c r="F38" i="32"/>
  <c r="B91" i="32"/>
  <c r="B121" i="32"/>
  <c r="B128" i="32"/>
  <c r="B49" i="31"/>
  <c r="C73" i="31"/>
  <c r="A85" i="31"/>
  <c r="B122" i="31"/>
  <c r="C62" i="31"/>
  <c r="A70" i="31"/>
  <c r="B85" i="31"/>
  <c r="B96" i="31"/>
  <c r="C122" i="31"/>
  <c r="B70" i="31"/>
  <c r="C85" i="31"/>
  <c r="B89" i="31"/>
  <c r="B100" i="31"/>
  <c r="B126" i="31"/>
  <c r="B88" i="30"/>
  <c r="F36" i="31"/>
  <c r="C89" i="31"/>
  <c r="A123" i="31"/>
  <c r="A71" i="31"/>
  <c r="C82" i="31"/>
  <c r="A86" i="31"/>
  <c r="B123" i="31"/>
  <c r="A127" i="31"/>
  <c r="C130" i="31"/>
  <c r="B84" i="29"/>
  <c r="B71" i="31"/>
  <c r="B86" i="31"/>
  <c r="B97" i="31"/>
  <c r="C108" i="31"/>
  <c r="B127" i="31"/>
  <c r="F37" i="31"/>
  <c r="B90" i="31"/>
  <c r="C127" i="31"/>
  <c r="A27" i="30"/>
  <c r="A87" i="31"/>
  <c r="B131" i="31"/>
  <c r="B47" i="31"/>
  <c r="C68" i="31"/>
  <c r="B87" i="31"/>
  <c r="B98" i="31"/>
  <c r="A128" i="31"/>
  <c r="B84" i="30"/>
  <c r="F38" i="31"/>
  <c r="B91" i="31"/>
  <c r="B121" i="31"/>
  <c r="B128" i="31"/>
  <c r="F32" i="30"/>
  <c r="B49" i="30"/>
  <c r="C73" i="30"/>
  <c r="A85" i="30"/>
  <c r="B122" i="30"/>
  <c r="C62" i="30"/>
  <c r="A70" i="30"/>
  <c r="B85" i="30"/>
  <c r="B96" i="30"/>
  <c r="C122" i="30"/>
  <c r="B70" i="30"/>
  <c r="C85" i="30"/>
  <c r="B89" i="30"/>
  <c r="B100" i="30"/>
  <c r="B126" i="30"/>
  <c r="F36" i="30"/>
  <c r="C89" i="30"/>
  <c r="A123" i="30"/>
  <c r="A71" i="30"/>
  <c r="C82" i="30"/>
  <c r="A86" i="30"/>
  <c r="B123" i="30"/>
  <c r="A127" i="30"/>
  <c r="C130" i="30"/>
  <c r="B71" i="30"/>
  <c r="B86" i="30"/>
  <c r="B97" i="30"/>
  <c r="C108" i="30"/>
  <c r="B127" i="30"/>
  <c r="F37" i="30"/>
  <c r="B90" i="30"/>
  <c r="C127" i="30"/>
  <c r="B99" i="30"/>
  <c r="A87" i="30"/>
  <c r="B131" i="30"/>
  <c r="B47" i="30"/>
  <c r="C68" i="30"/>
  <c r="B87" i="30"/>
  <c r="B98" i="30"/>
  <c r="A128" i="30"/>
  <c r="F38" i="30"/>
  <c r="B91" i="30"/>
  <c r="B121" i="30"/>
  <c r="B128" i="30"/>
  <c r="F32" i="29"/>
  <c r="B88" i="29"/>
  <c r="B99" i="29"/>
  <c r="A122" i="29"/>
  <c r="B49" i="29"/>
  <c r="C73" i="29"/>
  <c r="A85" i="29"/>
  <c r="C62" i="29"/>
  <c r="A70" i="29"/>
  <c r="B85" i="29"/>
  <c r="C122" i="29"/>
  <c r="B70" i="29"/>
  <c r="C85" i="29"/>
  <c r="B100" i="29"/>
  <c r="B126" i="29"/>
  <c r="F36" i="29"/>
  <c r="A71" i="29"/>
  <c r="C82" i="29"/>
  <c r="A127" i="29"/>
  <c r="C130" i="29"/>
  <c r="B71" i="29"/>
  <c r="B127" i="29"/>
  <c r="F37" i="29"/>
  <c r="C127" i="29"/>
  <c r="F38" i="29"/>
  <c r="B89" i="25"/>
  <c r="C89" i="25"/>
  <c r="A128" i="25"/>
  <c r="E18" i="5"/>
  <c r="F18" i="5"/>
  <c r="G18" i="5"/>
  <c r="H18" i="5"/>
  <c r="I15" i="5"/>
  <c r="I16" i="5"/>
  <c r="I17" i="5"/>
  <c r="I18" i="5"/>
  <c r="D18" i="5"/>
  <c r="E10" i="5"/>
  <c r="I9" i="5"/>
  <c r="E9" i="5"/>
  <c r="F10" i="5"/>
  <c r="F9" i="5"/>
  <c r="G10" i="5"/>
  <c r="G9" i="5"/>
  <c r="H10" i="5"/>
  <c r="H9" i="5"/>
  <c r="I10" i="5"/>
  <c r="D10" i="5"/>
  <c r="D9" i="5"/>
  <c r="A27" i="25"/>
  <c r="B122" i="25"/>
  <c r="B128" i="25"/>
  <c r="B49" i="25"/>
  <c r="B90" i="25"/>
  <c r="B96" i="25"/>
  <c r="A123" i="25"/>
  <c r="B123" i="25"/>
  <c r="B91" i="25"/>
  <c r="B97" i="25"/>
  <c r="A86" i="25"/>
  <c r="C108" i="25"/>
  <c r="B86" i="25"/>
  <c r="B98" i="25"/>
  <c r="A87" i="25"/>
  <c r="B131" i="25"/>
  <c r="B87" i="25"/>
  <c r="C68" i="25"/>
  <c r="C127" i="25"/>
  <c r="B47" i="25"/>
  <c r="B121" i="25"/>
  <c r="F38" i="25"/>
  <c r="F37" i="25"/>
  <c r="F36" i="25"/>
  <c r="E10" i="25"/>
  <c r="F10" i="25" s="1"/>
  <c r="E23" i="25"/>
  <c r="F23" i="25" s="1"/>
  <c r="E16" i="25"/>
  <c r="F16" i="25" s="1"/>
  <c r="E12" i="25"/>
  <c r="F12" i="25" s="1"/>
  <c r="E13" i="25"/>
  <c r="F13" i="25" s="1"/>
  <c r="E27" i="25"/>
  <c r="F27" i="25" s="1"/>
  <c r="E14" i="25"/>
  <c r="F14" i="25" s="1"/>
  <c r="F38" i="1"/>
  <c r="F36" i="1"/>
  <c r="D135" i="1"/>
  <c r="E27" i="1"/>
  <c r="F27" i="1" s="1"/>
  <c r="E29" i="1"/>
  <c r="F29" i="1" s="1"/>
  <c r="E28" i="1"/>
  <c r="F28" i="1" s="1"/>
  <c r="E16" i="1"/>
  <c r="F16" i="1" s="1"/>
  <c r="E21" i="1"/>
  <c r="F21" i="1" s="1"/>
  <c r="E23" i="1"/>
  <c r="F23" i="1" s="1"/>
  <c r="E12" i="1"/>
  <c r="F12" i="1" s="1"/>
  <c r="B45" i="1"/>
  <c r="E22" i="1"/>
  <c r="F22" i="1" s="1"/>
  <c r="E15" i="1"/>
  <c r="F15" i="1" s="1"/>
  <c r="E14" i="1"/>
  <c r="F14" i="1" s="1"/>
  <c r="E13" i="1"/>
  <c r="F13" i="1" s="1"/>
  <c r="E11" i="1"/>
  <c r="F11" i="1" s="1"/>
  <c r="B43" i="1"/>
  <c r="D95" i="1"/>
  <c r="D101" i="1"/>
  <c r="D104" i="1"/>
  <c r="D124" i="1"/>
  <c r="H17" i="5" a="1"/>
  <c r="H15" i="5" a="1"/>
  <c r="G15" i="5" a="1"/>
  <c r="F15" i="5" a="1"/>
  <c r="H17" i="5" l="1"/>
  <c r="H15" i="5"/>
  <c r="B45" i="31"/>
  <c r="B45" i="32"/>
  <c r="F41" i="32"/>
  <c r="B43" i="31"/>
  <c r="B43" i="32"/>
  <c r="F41" i="31"/>
  <c r="F41" i="30"/>
  <c r="B45" i="29"/>
  <c r="B45" i="30"/>
  <c r="B43" i="29"/>
  <c r="B43" i="30"/>
  <c r="F41" i="29"/>
  <c r="G15" i="5"/>
  <c r="F15" i="5"/>
  <c r="F41" i="25"/>
  <c r="F41" i="1"/>
  <c r="B43" i="25"/>
  <c r="D138" i="1"/>
  <c r="D140" i="1" s="1"/>
  <c r="B45" i="25"/>
  <c r="F32" i="25"/>
  <c r="F32" i="1"/>
  <c r="G16" i="5" a="1"/>
  <c r="E16" i="5" a="1"/>
  <c r="D16" i="5" a="1"/>
  <c r="F16" i="5" a="1"/>
  <c r="D17" i="5" a="1"/>
  <c r="E15" i="5" a="1"/>
  <c r="D15" i="5" a="1"/>
  <c r="H16" i="5" a="1"/>
  <c r="H16" i="5" l="1"/>
  <c r="G16" i="5"/>
  <c r="F16" i="5"/>
  <c r="E16" i="5"/>
  <c r="D17" i="5"/>
  <c r="E15" i="5"/>
  <c r="D16" i="5"/>
  <c r="D15" i="5"/>
  <c r="D20" i="5" l="1"/>
  <c r="C125" i="1" l="1"/>
  <c r="C105" i="1"/>
  <c r="C102" i="1"/>
  <c r="C96" i="1"/>
  <c r="C93" i="1"/>
  <c r="C96" i="31" l="1"/>
  <c r="C96" i="32"/>
  <c r="C105" i="31"/>
  <c r="C105" i="32"/>
  <c r="C93" i="31"/>
  <c r="C93" i="32"/>
  <c r="C102" i="31"/>
  <c r="C102" i="32"/>
  <c r="C125" i="31"/>
  <c r="C125" i="32"/>
  <c r="C93" i="29"/>
  <c r="C93" i="30"/>
  <c r="C96" i="29"/>
  <c r="E98" i="29" s="1"/>
  <c r="D135" i="29" s="1"/>
  <c r="D138" i="29" s="1"/>
  <c r="D140" i="29" s="1"/>
  <c r="C96" i="30"/>
  <c r="E98" i="30" s="1"/>
  <c r="D135" i="30" s="1"/>
  <c r="D138" i="30" s="1"/>
  <c r="D140" i="30" s="1"/>
  <c r="C105" i="29"/>
  <c r="C105" i="30"/>
  <c r="C102" i="29"/>
  <c r="C102" i="30"/>
  <c r="C125" i="29"/>
  <c r="C125" i="30"/>
  <c r="C93" i="25"/>
  <c r="C102" i="25"/>
  <c r="C105" i="25"/>
  <c r="C125" i="25"/>
  <c r="C96" i="25"/>
  <c r="E98" i="25" s="1"/>
  <c r="D135" i="25" s="1"/>
  <c r="D138" i="25" s="1"/>
  <c r="D140" i="25" s="1"/>
  <c r="G17" i="5" a="1"/>
  <c r="E17" i="5" a="1"/>
  <c r="F17" i="5" a="1"/>
  <c r="G17" i="5" l="1"/>
  <c r="F17" i="5"/>
  <c r="E17" i="5"/>
  <c r="E20" i="5" s="1"/>
  <c r="E22" i="5" s="1"/>
  <c r="B27" i="1" l="1"/>
  <c r="B27" i="31" l="1"/>
  <c r="B27" i="32"/>
  <c r="B27" i="29"/>
  <c r="B27" i="30"/>
  <c r="B27" i="25"/>
  <c r="A11" i="1"/>
  <c r="A11" i="31" l="1"/>
  <c r="A11" i="32"/>
  <c r="A11" i="29"/>
  <c r="A11" i="30"/>
  <c r="A11" i="25"/>
  <c r="J12" i="5"/>
  <c r="J11" i="5"/>
  <c r="J13" i="5" s="1"/>
  <c r="J18" i="5" l="1"/>
  <c r="J15" i="5" l="1"/>
  <c r="J17" i="5"/>
  <c r="J16" i="5"/>
  <c r="J20" i="5" l="1"/>
  <c r="J22" i="5" s="1"/>
  <c r="F3" i="1"/>
  <c r="F114" i="32" l="1"/>
  <c r="F54" i="32"/>
  <c r="F114" i="31"/>
  <c r="F54" i="31"/>
  <c r="F114" i="30"/>
  <c r="F54" i="30"/>
  <c r="F114" i="29"/>
  <c r="F54" i="29"/>
  <c r="I4" i="5"/>
  <c r="F114" i="25"/>
  <c r="F54" i="25"/>
  <c r="F54" i="1"/>
  <c r="F114" i="1"/>
  <c r="D2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Hirsbrunner, Heidi (FHWA)</author>
  </authors>
  <commentList>
    <comment ref="D13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Hirsbrunner, Heidi (FHWA):</t>
        </r>
        <r>
          <rPr>
            <sz val="9"/>
            <color indexed="81"/>
            <rFont val="Tahoma"/>
            <family val="2"/>
          </rPr>
          <t xml:space="preserve">
https://highways.dot.gov/federal-lands/business/escalation-factors</t>
        </r>
      </text>
    </comment>
    <comment ref="D13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Hirsbrunner, Heidi (FHWA):</t>
        </r>
        <r>
          <rPr>
            <sz val="9"/>
            <color indexed="81"/>
            <rFont val="Tahoma"/>
            <family val="2"/>
          </rPr>
          <t xml:space="preserve">
(1.60-1.10)(BPI)[Sum(Q)(FUF)]</t>
        </r>
      </text>
    </comment>
    <comment ref="D14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Hirsbrunner, Heidi (FHWA):</t>
        </r>
        <r>
          <rPr>
            <sz val="9"/>
            <color indexed="81"/>
            <rFont val="Tahoma"/>
            <family val="2"/>
          </rPr>
          <t xml:space="preserve">
https://highways.dot.gov/federal-lands/business/escalation-factors</t>
        </r>
      </text>
    </comment>
    <comment ref="D150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Hirsbrunner, Heidi (FHWA):</t>
        </r>
        <r>
          <rPr>
            <sz val="9"/>
            <color indexed="81"/>
            <rFont val="Tahoma"/>
            <family val="2"/>
          </rPr>
          <t xml:space="preserve">
(1.60-1.10)(BPI)(Q)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Hirsbrunner, Heidi (FHWA)</author>
  </authors>
  <commentList>
    <comment ref="D136" authorId="0" shapeId="0" xr:uid="{B3852A53-33A3-4DB4-B5A6-63203E85D8E9}">
      <text>
        <r>
          <rPr>
            <b/>
            <sz val="9"/>
            <color indexed="81"/>
            <rFont val="Tahoma"/>
            <family val="2"/>
          </rPr>
          <t>Hirsbrunner, Heidi (FHWA):</t>
        </r>
        <r>
          <rPr>
            <sz val="9"/>
            <color indexed="81"/>
            <rFont val="Tahoma"/>
            <family val="2"/>
          </rPr>
          <t xml:space="preserve">
https://highways.dot.gov/federal-lands/business/escalation-factors</t>
        </r>
      </text>
    </comment>
    <comment ref="D138" authorId="0" shapeId="0" xr:uid="{5517F8A5-3BE8-497E-BDEC-BCBCE5E9DAFA}">
      <text>
        <r>
          <rPr>
            <b/>
            <sz val="9"/>
            <color indexed="81"/>
            <rFont val="Tahoma"/>
            <family val="2"/>
          </rPr>
          <t>Hirsbrunner, Heidi (FHWA):</t>
        </r>
        <r>
          <rPr>
            <sz val="9"/>
            <color indexed="81"/>
            <rFont val="Tahoma"/>
            <family val="2"/>
          </rPr>
          <t xml:space="preserve">
(1.60-1.10)(BPI)[Sum(Q)(FUF)]</t>
        </r>
      </text>
    </comment>
    <comment ref="D148" authorId="0" shapeId="0" xr:uid="{5EDF0542-8853-4830-B78B-C49BFF6CADA5}">
      <text>
        <r>
          <rPr>
            <b/>
            <sz val="9"/>
            <color indexed="81"/>
            <rFont val="Tahoma"/>
            <family val="2"/>
          </rPr>
          <t>Hirsbrunner, Heidi (FHWA):</t>
        </r>
        <r>
          <rPr>
            <sz val="9"/>
            <color indexed="81"/>
            <rFont val="Tahoma"/>
            <family val="2"/>
          </rPr>
          <t xml:space="preserve">
https://highways.dot.gov/federal-lands/business/escalation-factors</t>
        </r>
      </text>
    </comment>
    <comment ref="D150" authorId="0" shapeId="0" xr:uid="{D58FA23E-D352-4A7E-963E-04FD62966700}">
      <text>
        <r>
          <rPr>
            <b/>
            <sz val="9"/>
            <color indexed="81"/>
            <rFont val="Tahoma"/>
            <family val="2"/>
          </rPr>
          <t>Hirsbrunner, Heidi (FHWA):</t>
        </r>
        <r>
          <rPr>
            <sz val="9"/>
            <color indexed="81"/>
            <rFont val="Tahoma"/>
            <family val="2"/>
          </rPr>
          <t xml:space="preserve">
(1.60-1.10)(BPI)(Q)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Hirsbrunner, Heidi (FHWA)</author>
  </authors>
  <commentList>
    <comment ref="D136" authorId="0" shapeId="0" xr:uid="{79E67117-49CB-4132-A8FA-880738B915D7}">
      <text>
        <r>
          <rPr>
            <b/>
            <sz val="9"/>
            <color indexed="81"/>
            <rFont val="Tahoma"/>
            <family val="2"/>
          </rPr>
          <t>Hirsbrunner, Heidi (FHWA):</t>
        </r>
        <r>
          <rPr>
            <sz val="9"/>
            <color indexed="81"/>
            <rFont val="Tahoma"/>
            <family val="2"/>
          </rPr>
          <t xml:space="preserve">
https://highways.dot.gov/federal-lands/business/escalation-factors</t>
        </r>
      </text>
    </comment>
    <comment ref="D138" authorId="0" shapeId="0" xr:uid="{79B15BD7-52FC-4702-88E2-2D8DDD8F307C}">
      <text>
        <r>
          <rPr>
            <b/>
            <sz val="9"/>
            <color indexed="81"/>
            <rFont val="Tahoma"/>
            <family val="2"/>
          </rPr>
          <t>Hirsbrunner, Heidi (FHWA):</t>
        </r>
        <r>
          <rPr>
            <sz val="9"/>
            <color indexed="81"/>
            <rFont val="Tahoma"/>
            <family val="2"/>
          </rPr>
          <t xml:space="preserve">
(1.60-1.10)(BPI)[Sum(Q)(FUF)]</t>
        </r>
      </text>
    </comment>
    <comment ref="D148" authorId="0" shapeId="0" xr:uid="{67729780-83F9-492C-8AF0-9DD56E07F077}">
      <text>
        <r>
          <rPr>
            <b/>
            <sz val="9"/>
            <color indexed="81"/>
            <rFont val="Tahoma"/>
            <family val="2"/>
          </rPr>
          <t>Hirsbrunner, Heidi (FHWA):</t>
        </r>
        <r>
          <rPr>
            <sz val="9"/>
            <color indexed="81"/>
            <rFont val="Tahoma"/>
            <family val="2"/>
          </rPr>
          <t xml:space="preserve">
https://highways.dot.gov/federal-lands/business/escalation-factors</t>
        </r>
      </text>
    </comment>
    <comment ref="D150" authorId="0" shapeId="0" xr:uid="{D8C3298B-2475-47DA-B706-C86B126EFCC9}">
      <text>
        <r>
          <rPr>
            <b/>
            <sz val="9"/>
            <color indexed="81"/>
            <rFont val="Tahoma"/>
            <family val="2"/>
          </rPr>
          <t>Hirsbrunner, Heidi (FHWA):</t>
        </r>
        <r>
          <rPr>
            <sz val="9"/>
            <color indexed="81"/>
            <rFont val="Tahoma"/>
            <family val="2"/>
          </rPr>
          <t xml:space="preserve">
(1.60-1.10)(BPI)(Q)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Hirsbrunner, Heidi (FHWA)</author>
  </authors>
  <commentList>
    <comment ref="D136" authorId="0" shapeId="0" xr:uid="{6FFF5372-C4D2-4220-BE18-F13FB1F2AB1D}">
      <text>
        <r>
          <rPr>
            <b/>
            <sz val="9"/>
            <color indexed="81"/>
            <rFont val="Tahoma"/>
            <family val="2"/>
          </rPr>
          <t>Hirsbrunner, Heidi (FHWA):</t>
        </r>
        <r>
          <rPr>
            <sz val="9"/>
            <color indexed="81"/>
            <rFont val="Tahoma"/>
            <family val="2"/>
          </rPr>
          <t xml:space="preserve">
https://highways.dot.gov/federal-lands/business/escalation-factors</t>
        </r>
      </text>
    </comment>
    <comment ref="D138" authorId="0" shapeId="0" xr:uid="{C472927D-1A1C-431C-8B40-67234194F042}">
      <text>
        <r>
          <rPr>
            <b/>
            <sz val="9"/>
            <color indexed="81"/>
            <rFont val="Tahoma"/>
            <family val="2"/>
          </rPr>
          <t>Hirsbrunner, Heidi (FHWA):</t>
        </r>
        <r>
          <rPr>
            <sz val="9"/>
            <color indexed="81"/>
            <rFont val="Tahoma"/>
            <family val="2"/>
          </rPr>
          <t xml:space="preserve">
(1.60-1.10)(BPI)[Sum(Q)(FUF)]</t>
        </r>
      </text>
    </comment>
    <comment ref="D148" authorId="0" shapeId="0" xr:uid="{3A13A5FC-2FF9-44E8-885A-30D8461296E0}">
      <text>
        <r>
          <rPr>
            <b/>
            <sz val="9"/>
            <color indexed="81"/>
            <rFont val="Tahoma"/>
            <family val="2"/>
          </rPr>
          <t>Hirsbrunner, Heidi (FHWA):</t>
        </r>
        <r>
          <rPr>
            <sz val="9"/>
            <color indexed="81"/>
            <rFont val="Tahoma"/>
            <family val="2"/>
          </rPr>
          <t xml:space="preserve">
https://highways.dot.gov/federal-lands/business/escalation-factors</t>
        </r>
      </text>
    </comment>
    <comment ref="D150" authorId="0" shapeId="0" xr:uid="{0CFB3730-5180-4438-9E26-957EA2DE4DBB}">
      <text>
        <r>
          <rPr>
            <b/>
            <sz val="9"/>
            <color indexed="81"/>
            <rFont val="Tahoma"/>
            <family val="2"/>
          </rPr>
          <t>Hirsbrunner, Heidi (FHWA):</t>
        </r>
        <r>
          <rPr>
            <sz val="9"/>
            <color indexed="81"/>
            <rFont val="Tahoma"/>
            <family val="2"/>
          </rPr>
          <t xml:space="preserve">
(1.60-1.10)(BPI)(Q)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Hirsbrunner, Heidi (FHWA)</author>
  </authors>
  <commentList>
    <comment ref="D136" authorId="0" shapeId="0" xr:uid="{7ADA5F72-6963-460B-AF87-567C2F8353E8}">
      <text>
        <r>
          <rPr>
            <b/>
            <sz val="9"/>
            <color indexed="81"/>
            <rFont val="Tahoma"/>
            <family val="2"/>
          </rPr>
          <t>Hirsbrunner, Heidi (FHWA):</t>
        </r>
        <r>
          <rPr>
            <sz val="9"/>
            <color indexed="81"/>
            <rFont val="Tahoma"/>
            <family val="2"/>
          </rPr>
          <t xml:space="preserve">
https://highways.dot.gov/federal-lands/business/escalation-factors</t>
        </r>
      </text>
    </comment>
    <comment ref="D138" authorId="0" shapeId="0" xr:uid="{53D0802C-0991-4CB5-B788-7DF41C7C6279}">
      <text>
        <r>
          <rPr>
            <b/>
            <sz val="9"/>
            <color indexed="81"/>
            <rFont val="Tahoma"/>
            <family val="2"/>
          </rPr>
          <t>Hirsbrunner, Heidi (FHWA):</t>
        </r>
        <r>
          <rPr>
            <sz val="9"/>
            <color indexed="81"/>
            <rFont val="Tahoma"/>
            <family val="2"/>
          </rPr>
          <t xml:space="preserve">
(1.60-1.10)(BPI)[Sum(Q)(FUF)]</t>
        </r>
      </text>
    </comment>
    <comment ref="D148" authorId="0" shapeId="0" xr:uid="{D974F91B-86FB-4CCC-8AC6-D0B298A21E0E}">
      <text>
        <r>
          <rPr>
            <b/>
            <sz val="9"/>
            <color indexed="81"/>
            <rFont val="Tahoma"/>
            <family val="2"/>
          </rPr>
          <t>Hirsbrunner, Heidi (FHWA):</t>
        </r>
        <r>
          <rPr>
            <sz val="9"/>
            <color indexed="81"/>
            <rFont val="Tahoma"/>
            <family val="2"/>
          </rPr>
          <t xml:space="preserve">
https://highways.dot.gov/federal-lands/business/escalation-factors</t>
        </r>
      </text>
    </comment>
    <comment ref="D150" authorId="0" shapeId="0" xr:uid="{EC197DF3-6F51-43D2-877E-F5F646866F21}">
      <text>
        <r>
          <rPr>
            <b/>
            <sz val="9"/>
            <color indexed="81"/>
            <rFont val="Tahoma"/>
            <family val="2"/>
          </rPr>
          <t>Hirsbrunner, Heidi (FHWA):</t>
        </r>
        <r>
          <rPr>
            <sz val="9"/>
            <color indexed="81"/>
            <rFont val="Tahoma"/>
            <family val="2"/>
          </rPr>
          <t xml:space="preserve">
(1.60-1.10)(BPI)(Q)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Hirsbrunner, Heidi (FHWA)</author>
  </authors>
  <commentList>
    <comment ref="D136" authorId="0" shapeId="0" xr:uid="{6735ABAE-F0E2-4B77-8B18-3002DD0C2EE1}">
      <text>
        <r>
          <rPr>
            <b/>
            <sz val="9"/>
            <color indexed="81"/>
            <rFont val="Tahoma"/>
            <family val="2"/>
          </rPr>
          <t>Hirsbrunner, Heidi (FHWA):</t>
        </r>
        <r>
          <rPr>
            <sz val="9"/>
            <color indexed="81"/>
            <rFont val="Tahoma"/>
            <family val="2"/>
          </rPr>
          <t xml:space="preserve">
https://highways.dot.gov/federal-lands/business/escalation-factors</t>
        </r>
      </text>
    </comment>
    <comment ref="D138" authorId="0" shapeId="0" xr:uid="{C7B5DAA6-ED3D-4262-B7D7-E35DAD8AAE8D}">
      <text>
        <r>
          <rPr>
            <b/>
            <sz val="9"/>
            <color indexed="81"/>
            <rFont val="Tahoma"/>
            <family val="2"/>
          </rPr>
          <t>Hirsbrunner, Heidi (FHWA):</t>
        </r>
        <r>
          <rPr>
            <sz val="9"/>
            <color indexed="81"/>
            <rFont val="Tahoma"/>
            <family val="2"/>
          </rPr>
          <t xml:space="preserve">
(1.60-1.10)(BPI)[Sum(Q)(FUF)]</t>
        </r>
      </text>
    </comment>
    <comment ref="D148" authorId="0" shapeId="0" xr:uid="{9DB8D86F-C61D-4870-9BFC-9BEFFFA2EFE8}">
      <text>
        <r>
          <rPr>
            <b/>
            <sz val="9"/>
            <color indexed="81"/>
            <rFont val="Tahoma"/>
            <family val="2"/>
          </rPr>
          <t>Hirsbrunner, Heidi (FHWA):</t>
        </r>
        <r>
          <rPr>
            <sz val="9"/>
            <color indexed="81"/>
            <rFont val="Tahoma"/>
            <family val="2"/>
          </rPr>
          <t xml:space="preserve">
https://highways.dot.gov/federal-lands/business/escalation-factors</t>
        </r>
      </text>
    </comment>
    <comment ref="D150" authorId="0" shapeId="0" xr:uid="{A2CA9B4E-1141-4738-9E58-6CDFFA465495}">
      <text>
        <r>
          <rPr>
            <b/>
            <sz val="9"/>
            <color indexed="81"/>
            <rFont val="Tahoma"/>
            <family val="2"/>
          </rPr>
          <t>Hirsbrunner, Heidi (FHWA):</t>
        </r>
        <r>
          <rPr>
            <sz val="9"/>
            <color indexed="81"/>
            <rFont val="Tahoma"/>
            <family val="2"/>
          </rPr>
          <t xml:space="preserve">
(1.60-1.10)(BPI)(Q)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<sst xmlns="http://schemas.openxmlformats.org/spreadsheetml/2006/main" count="645" uniqueCount="139">
  <si>
    <t xml:space="preserve">Project #:  </t>
  </si>
  <si>
    <t xml:space="preserve">Date:  </t>
  </si>
  <si>
    <t xml:space="preserve">Project Name:  </t>
  </si>
  <si>
    <t xml:space="preserve">Schedule Type: </t>
  </si>
  <si>
    <t>Base</t>
  </si>
  <si>
    <t>Schedule Letter:</t>
  </si>
  <si>
    <t>A</t>
  </si>
  <si>
    <t xml:space="preserve">Units:  </t>
  </si>
  <si>
    <t>US CUSTOMARY</t>
  </si>
  <si>
    <r>
      <t>Materials Incentives (5% Max. Incentive Items)</t>
    </r>
    <r>
      <rPr>
        <vertAlign val="superscript"/>
        <sz val="12"/>
        <color theme="1"/>
        <rFont val="Arial"/>
        <family val="2"/>
      </rPr>
      <t>1</t>
    </r>
  </si>
  <si>
    <t>Section Description</t>
  </si>
  <si>
    <t>Unit Price</t>
  </si>
  <si>
    <t>Incentive Amt</t>
  </si>
  <si>
    <r>
      <t>Materials Incentives (6% Max. Incentive Items)</t>
    </r>
    <r>
      <rPr>
        <vertAlign val="superscript"/>
        <sz val="12"/>
        <color theme="1"/>
        <rFont val="Arial"/>
        <family val="2"/>
      </rPr>
      <t>2</t>
    </r>
  </si>
  <si>
    <r>
      <t>Materials Incentives (1% Max. Incentive Items)</t>
    </r>
    <r>
      <rPr>
        <vertAlign val="superscript"/>
        <sz val="12"/>
        <color theme="1"/>
        <rFont val="Arial"/>
        <family val="2"/>
      </rPr>
      <t>3</t>
    </r>
  </si>
  <si>
    <r>
      <t>Roughness Incentives</t>
    </r>
    <r>
      <rPr>
        <vertAlign val="superscript"/>
        <sz val="12"/>
        <color theme="1"/>
        <rFont val="Arial"/>
        <family val="2"/>
      </rPr>
      <t>4</t>
    </r>
  </si>
  <si>
    <t xml:space="preserve">Note 1: </t>
  </si>
  <si>
    <t xml:space="preserve">Note 2: </t>
  </si>
  <si>
    <t xml:space="preserve">Note 3: </t>
  </si>
  <si>
    <t xml:space="preserve">Note 4: </t>
  </si>
  <si>
    <t>109.06-Pricing Adjustments FUEL</t>
  </si>
  <si>
    <t>FUF</t>
  </si>
  <si>
    <t>Gallons</t>
  </si>
  <si>
    <t>Roadway exacation</t>
  </si>
  <si>
    <t>Subexacation</t>
  </si>
  <si>
    <t>Unclassified borrow</t>
  </si>
  <si>
    <t>Embankment construction</t>
  </si>
  <si>
    <t>Rock excavation</t>
  </si>
  <si>
    <t>Subbase</t>
  </si>
  <si>
    <t>Subbase*</t>
  </si>
  <si>
    <t>Aggregate surface course</t>
  </si>
  <si>
    <t>Aggregate surface course*</t>
  </si>
  <si>
    <t>CIP recycled ashalt base*</t>
  </si>
  <si>
    <t>CIP recycled ashalt base</t>
  </si>
  <si>
    <t>31101</t>
  </si>
  <si>
    <t>31102</t>
  </si>
  <si>
    <t>31103</t>
  </si>
  <si>
    <t>40101</t>
  </si>
  <si>
    <t>Asphalt concrete pavement, gyratory mix</t>
  </si>
  <si>
    <t>40102</t>
  </si>
  <si>
    <t>Asphalt concrete pavement, gyratory mix, wedged and leveling</t>
  </si>
  <si>
    <t>40201</t>
  </si>
  <si>
    <t>ACP Hveem or Marshall Mix Design Method</t>
  </si>
  <si>
    <t>40202</t>
  </si>
  <si>
    <r>
      <t>*</t>
    </r>
    <r>
      <rPr>
        <b/>
        <sz val="8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The Government, to agree with the units associated with the applicable Fuel Usage Factor, will convert work quantities, as necessary.</t>
    </r>
  </si>
  <si>
    <t>109.06-Pricing Adjustments FUEL (continued)</t>
  </si>
  <si>
    <t xml:space="preserve">Total Quantity of Work x FUF (see 109.06, Table 1)   = </t>
  </si>
  <si>
    <t>BPI for Low Sulfur, No. 2 Diesel Fuel per Gallon</t>
  </si>
  <si>
    <t>Max MPPI (BPI x 1.6)</t>
  </si>
  <si>
    <t>Maximum Payment to Contractor</t>
  </si>
  <si>
    <t>% of Max. Payment to Contractor (15%-30%)</t>
  </si>
  <si>
    <t>Total Contigency Amount (Fuel)</t>
  </si>
  <si>
    <t>109.06-Pricing Adjustments Asphalt Cement</t>
  </si>
  <si>
    <t>tons of Asphalt Pavement</t>
  </si>
  <si>
    <t>BPI for Asphalt Cement per ton</t>
  </si>
  <si>
    <t>Maximum Payment to Contractor (given 6% AC)</t>
  </si>
  <si>
    <t>Total Contigency Amount (Asphalt Cement)</t>
  </si>
  <si>
    <t>B</t>
  </si>
  <si>
    <t>C</t>
  </si>
  <si>
    <t>Option</t>
  </si>
  <si>
    <t>X</t>
  </si>
  <si>
    <t>Y</t>
  </si>
  <si>
    <t>Z</t>
  </si>
  <si>
    <t xml:space="preserve">Units: </t>
  </si>
  <si>
    <t>Summary</t>
  </si>
  <si>
    <t>Schedule Type:</t>
  </si>
  <si>
    <t>Total</t>
  </si>
  <si>
    <t>Bid Amount:</t>
  </si>
  <si>
    <t>Adjustments to Bid Amount (15401 Gov. Lab Trailer)</t>
  </si>
  <si>
    <t>Adjusted Bid Amount:</t>
  </si>
  <si>
    <t>Total Material Incentives:</t>
  </si>
  <si>
    <t>Total Roughness Incentives:</t>
  </si>
  <si>
    <t>Total Fuel Contingency:</t>
  </si>
  <si>
    <t>Total Asphalt Contingency:</t>
  </si>
  <si>
    <t>Partnering/Completion Incentives:</t>
  </si>
  <si>
    <t>Total Contingencies/Incentives:</t>
  </si>
  <si>
    <t>Revised Bid Amounts (PR Amounts):</t>
  </si>
  <si>
    <t>WFLHD - Materials &amp; Roughness Incentives Adjustments Worksheet</t>
  </si>
  <si>
    <t>WFLHD - Asphalt Cement &amp; Fuel Price Adjustments Worksheet</t>
  </si>
  <si>
    <t>WA WFL Test(1)</t>
  </si>
  <si>
    <t xml:space="preserve">    WFLHD - Acquisition Incentive Summary</t>
  </si>
  <si>
    <t>Aggregate base</t>
  </si>
  <si>
    <t>Aggregate base*</t>
  </si>
  <si>
    <t>Roadway Aggregate</t>
  </si>
  <si>
    <t>Roadway Aggregate*</t>
  </si>
  <si>
    <t>Asphalt concrete pavement</t>
  </si>
  <si>
    <t>Asphalt concrete pavement*</t>
  </si>
  <si>
    <t>Asphalt concrete pavement, wedge and leveling course</t>
  </si>
  <si>
    <t>ACP Hveen or Marshall Mix, wedge and leveling course</t>
  </si>
  <si>
    <t>FP-14</t>
  </si>
  <si>
    <t>Wafflehead Park Road</t>
  </si>
  <si>
    <t>↕</t>
  </si>
  <si>
    <t>-</t>
  </si>
  <si>
    <t>Item
Section #</t>
  </si>
  <si>
    <r>
      <t>FP Version:</t>
    </r>
    <r>
      <rPr>
        <sz val="10"/>
        <color theme="1"/>
        <rFont val="Calibri"/>
        <family val="2"/>
      </rPr>
      <t> </t>
    </r>
  </si>
  <si>
    <t>TOTAL MATERIALS INCENTIVES:  </t>
  </si>
  <si>
    <t>TOTAL ROUGHNESS INCENTIVES: </t>
  </si>
  <si>
    <t>Untreated Aggregate Courses</t>
  </si>
  <si>
    <t>Emulsified Asphalt-Treated Base Course</t>
  </si>
  <si>
    <t>Stabilized Aggregate Surface Course</t>
  </si>
  <si>
    <t>Open-Graded Asphalt Friction Course</t>
  </si>
  <si>
    <t>Chip Seal</t>
  </si>
  <si>
    <t>ACP by Gyratory Mix Design</t>
  </si>
  <si>
    <t>401</t>
  </si>
  <si>
    <t>Select borrow*</t>
  </si>
  <si>
    <t>Select borrow</t>
  </si>
  <si>
    <t>Open-graded asphalt friction course</t>
  </si>
  <si>
    <t>Project #: </t>
  </si>
  <si>
    <t>Project Name: </t>
  </si>
  <si>
    <t>Minor concrete pacement, reinforced</t>
  </si>
  <si>
    <t>Section 204 –</t>
  </si>
  <si>
    <t>Excavation and Embankment</t>
  </si>
  <si>
    <t>Section 301 –</t>
  </si>
  <si>
    <t>Section 302 –</t>
  </si>
  <si>
    <t>Minor Aggregate</t>
  </si>
  <si>
    <t>Section 308 –</t>
  </si>
  <si>
    <t>Section 309 –</t>
  </si>
  <si>
    <t>Section 310 –</t>
  </si>
  <si>
    <t>Section 311 –</t>
  </si>
  <si>
    <t>Cold In-Place (CIP) Recycled Asphalt Base</t>
  </si>
  <si>
    <t>Stabilized Aggregate Base Course</t>
  </si>
  <si>
    <t>Section 401 –</t>
  </si>
  <si>
    <t>ACP by Gyratory Mix Design Method</t>
  </si>
  <si>
    <t>Section 402 –</t>
  </si>
  <si>
    <t>ACP by Hveem or Marshall Mix Design Method</t>
  </si>
  <si>
    <t>Section 403 –</t>
  </si>
  <si>
    <t>Asphalt Concrete</t>
  </si>
  <si>
    <t>Section 404 –</t>
  </si>
  <si>
    <t>Section 405 –</t>
  </si>
  <si>
    <t>Open-Graded Asphalt Friction</t>
  </si>
  <si>
    <t>Section 501 –</t>
  </si>
  <si>
    <t>Minor Concrete Pavement</t>
  </si>
  <si>
    <t>Section 408 –</t>
  </si>
  <si>
    <t>Schedule1</t>
  </si>
  <si>
    <t>Schedule2</t>
  </si>
  <si>
    <t>Schedule3</t>
  </si>
  <si>
    <t>Schedule4</t>
  </si>
  <si>
    <t>Schedule5</t>
  </si>
  <si>
    <t>Schedule6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</si>
</sst>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"/>
    <numFmt numFmtId="165" formatCode="#,##0.000"/>
    <numFmt numFmtId="166" formatCode="&quot;Rev. &quot;m/d/yyyy"/>
    <numFmt numFmtId="167" formatCode="&quot;$&quot;#,##0"/>
    <numFmt numFmtId="168" formatCode="_(\ &quot;$&quot;* #,##0.00\ _);_(&quot;$&quot;* \(#,##0.00\);_(\ &quot;$&quot;* &quot;-&quot;??\ _);_(@_)"/>
  </numFmts>
  <fonts count="30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6"/>
      <color theme="1"/>
      <name val="Arial"/>
      <family val="2"/>
    </font>
    <font>
      <b/>
      <sz val="14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vertAlign val="superscript"/>
      <sz val="12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b/>
      <u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sz val="7"/>
      <color theme="1"/>
      <name val="Arial"/>
      <family val="2"/>
    </font>
    <font>
      <b/>
      <vertAlign val="superscript"/>
      <sz val="8"/>
      <color theme="1"/>
      <name val="Arial"/>
      <family val="2"/>
    </font>
    <font>
      <b/>
      <sz val="8"/>
      <color theme="1"/>
      <name val="Arial"/>
      <family val="2"/>
    </font>
    <font>
      <sz val="14"/>
      <color theme="1"/>
      <name val="Arial"/>
      <family val="2"/>
    </font>
    <font>
      <sz val="18"/>
      <color theme="1"/>
      <name val="Arial"/>
      <family val="2"/>
    </font>
    <font>
      <sz val="10"/>
      <color theme="1"/>
      <name val="Calibri"/>
      <family val="2"/>
    </font>
    <font>
      <b/>
      <vertAlign val="superscript"/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double">
        <color auto="1"/>
      </top>
      <bottom style="thick">
        <color theme="0"/>
      </bottom>
      <diagonal/>
    </border>
    <border>
      <left style="thick">
        <color theme="0"/>
      </left>
      <right/>
      <top style="double">
        <color auto="1"/>
      </top>
      <bottom style="thick">
        <color theme="0"/>
      </bottom>
      <diagonal/>
    </border>
    <border>
      <left style="thick">
        <color theme="0" tint="-0.14996795556505021"/>
      </left>
      <right style="thick">
        <color theme="0" tint="-0.14996795556505021"/>
      </right>
      <top style="thick">
        <color theme="0" tint="-0.14996795556505021"/>
      </top>
      <bottom style="thick">
        <color theme="0" tint="-0.14996795556505021"/>
      </bottom>
      <diagonal/>
    </border>
    <border>
      <left style="thick">
        <color theme="0" tint="-0.14996795556505021"/>
      </left>
      <right/>
      <top/>
      <bottom style="thick">
        <color theme="0" tint="-0.14996795556505021"/>
      </bottom>
      <diagonal/>
    </border>
    <border>
      <left/>
      <right/>
      <top/>
      <bottom style="thick">
        <color theme="0" tint="-0.14996795556505021"/>
      </bottom>
      <diagonal/>
    </border>
    <border>
      <left/>
      <right style="thin">
        <color auto="1"/>
      </right>
      <top style="thin">
        <color auto="1"/>
      </top>
      <bottom style="thick">
        <color theme="0"/>
      </bottom>
      <diagonal/>
    </border>
    <border>
      <left/>
      <right style="thin">
        <color auto="1"/>
      </right>
      <top style="thick">
        <color theme="0"/>
      </top>
      <bottom/>
      <diagonal/>
    </border>
  </borders>
  <cellStyleXfs count="5">
    <xf numFmtId="0" fontId="0" fillId="0" borderId="0">
      <alignment vertical="center"/>
    </xf>
    <xf numFmtId="0" fontId="1" fillId="2" borderId="0"/>
    <xf numFmtId="0" fontId="4" fillId="0" borderId="0"/>
    <xf numFmtId="0" fontId="5" fillId="0" borderId="0"/>
    <xf numFmtId="9" fontId="1" fillId="0" borderId="0" applyFont="0" applyFill="0" applyBorder="0" applyAlignment="0" applyProtection="0"/>
  </cellStyleXfs>
  <cellXfs count="215">
    <xf numFmtId="0" fontId="0" fillId="0" borderId="0" xfId="0">
      <alignment vertical="center"/>
    </xf>
    <xf numFmtId="0" fontId="4" fillId="6" borderId="0" xfId="0" applyFont="1" applyFill="1" applyProtection="1">
      <alignment vertical="center"/>
    </xf>
    <xf numFmtId="0" fontId="4" fillId="0" borderId="0" xfId="0" applyFont="1" applyFill="1" applyProtection="1">
      <alignment vertical="center"/>
    </xf>
    <xf numFmtId="3" fontId="4" fillId="0" borderId="0" xfId="0" applyNumberFormat="1" applyFont="1" applyFill="1" applyProtection="1">
      <alignment vertical="center"/>
    </xf>
    <xf numFmtId="164" fontId="4" fillId="0" borderId="0" xfId="0" applyNumberFormat="1" applyFont="1" applyFill="1" applyProtection="1">
      <alignment vertical="center"/>
    </xf>
    <xf numFmtId="164" fontId="3" fillId="0" borderId="0" xfId="0" applyNumberFormat="1" applyFont="1" applyFill="1" applyProtection="1">
      <alignment vertical="center"/>
    </xf>
    <xf numFmtId="164" fontId="4" fillId="0" borderId="0" xfId="0" applyNumberFormat="1" applyFont="1" applyFill="1" applyAlignment="1" applyProtection="1">
      <alignment horizontal="right"/>
    </xf>
    <xf numFmtId="0" fontId="4" fillId="0" borderId="0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left"/>
    </xf>
    <xf numFmtId="164" fontId="4" fillId="0" borderId="1" xfId="0" applyNumberFormat="1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left"/>
    </xf>
    <xf numFmtId="3" fontId="3" fillId="0" borderId="0" xfId="0" applyNumberFormat="1" applyFont="1" applyFill="1" applyAlignment="1" applyProtection="1">
      <alignment horizontal="center"/>
    </xf>
    <xf numFmtId="164" fontId="4" fillId="0" borderId="0" xfId="0" applyNumberFormat="1" applyFont="1" applyFill="1" applyAlignment="1" applyProtection="1">
      <alignment horizontal="center"/>
    </xf>
    <xf numFmtId="164" fontId="3" fillId="0" borderId="0" xfId="0" applyNumberFormat="1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right"/>
    </xf>
    <xf numFmtId="164" fontId="5" fillId="0" borderId="0" xfId="0" applyNumberFormat="1" applyFont="1" applyFill="1" applyAlignment="1" applyProtection="1">
      <alignment horizontal="center"/>
    </xf>
    <xf numFmtId="165" fontId="3" fillId="0" borderId="0" xfId="0" applyNumberFormat="1" applyFont="1" applyFill="1" applyAlignment="1" applyProtection="1">
      <alignment horizontal="center"/>
    </xf>
    <xf numFmtId="166" fontId="6" fillId="0" borderId="0" xfId="2" applyNumberFormat="1" applyFont="1" applyFill="1" applyAlignment="1" applyProtection="1">
      <alignment horizontal="center"/>
    </xf>
    <xf numFmtId="0" fontId="6" fillId="0" borderId="0" xfId="2" applyFont="1" applyFill="1" applyAlignment="1" applyProtection="1">
      <alignment horizontal="center"/>
    </xf>
    <xf numFmtId="3" fontId="4" fillId="6" borderId="0" xfId="0" applyNumberFormat="1" applyFont="1" applyFill="1" applyProtection="1">
      <alignment vertical="center"/>
    </xf>
    <xf numFmtId="164" fontId="4" fillId="6" borderId="0" xfId="0" applyNumberFormat="1" applyFont="1" applyFill="1" applyProtection="1">
      <alignment vertical="center"/>
    </xf>
    <xf numFmtId="0" fontId="11" fillId="0" borderId="0" xfId="0" applyFont="1" applyFill="1" applyProtection="1">
      <alignment vertical="center"/>
    </xf>
    <xf numFmtId="0" fontId="4" fillId="0" borderId="0" xfId="0" applyFont="1" applyFill="1" applyBorder="1" applyAlignment="1" applyProtection="1">
      <alignment horizontal="left"/>
    </xf>
    <xf numFmtId="164" fontId="4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Protection="1">
      <alignment vertical="center"/>
    </xf>
    <xf numFmtId="3" fontId="4" fillId="0" borderId="0" xfId="0" applyNumberFormat="1" applyFont="1" applyFill="1" applyBorder="1" applyProtection="1">
      <alignment vertical="center"/>
    </xf>
    <xf numFmtId="164" fontId="4" fillId="0" borderId="0" xfId="0" applyNumberFormat="1" applyFont="1" applyFill="1" applyBorder="1" applyProtection="1">
      <alignment vertical="center"/>
    </xf>
    <xf numFmtId="166" fontId="6" fillId="0" borderId="0" xfId="2" applyNumberFormat="1" applyFont="1" applyFill="1" applyBorder="1" applyAlignment="1" applyProtection="1">
      <alignment horizontal="center"/>
    </xf>
    <xf numFmtId="0" fontId="6" fillId="0" borderId="0" xfId="2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right"/>
    </xf>
    <xf numFmtId="0" fontId="11" fillId="0" borderId="0" xfId="0" applyFont="1" applyFill="1" applyBorder="1" applyProtection="1">
      <alignment vertical="center"/>
    </xf>
    <xf numFmtId="3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4" fillId="0" borderId="4" xfId="0" applyFont="1" applyFill="1" applyBorder="1" applyAlignment="1" applyProtection="1">
      <alignment horizontal="center" vertical="center"/>
    </xf>
    <xf numFmtId="3" fontId="9" fillId="3" borderId="4" xfId="0" applyNumberFormat="1" applyFont="1" applyFill="1" applyBorder="1" applyAlignment="1" applyProtection="1">
      <alignment horizontal="center" vertical="center"/>
      <protection locked="0"/>
    </xf>
    <xf numFmtId="0" fontId="13" fillId="0" borderId="6" xfId="0" applyFont="1" applyFill="1" applyBorder="1" applyAlignment="1" applyProtection="1">
      <alignment horizontal="left" wrapText="1"/>
    </xf>
    <xf numFmtId="0" fontId="3" fillId="0" borderId="0" xfId="0" applyFont="1" applyFill="1" applyBorder="1" applyAlignment="1" applyProtection="1">
      <alignment horizontal="left" vertical="center"/>
    </xf>
    <xf numFmtId="3" fontId="3" fillId="0" borderId="0" xfId="0" applyNumberFormat="1" applyFont="1" applyFill="1" applyBorder="1" applyAlignment="1" applyProtection="1">
      <alignment horizontal="right"/>
    </xf>
    <xf numFmtId="167" fontId="19" fillId="0" borderId="0" xfId="0" applyNumberFormat="1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right" vertical="center"/>
    </xf>
    <xf numFmtId="0" fontId="4" fillId="0" borderId="6" xfId="0" applyFont="1" applyFill="1" applyBorder="1" applyAlignment="1" applyProtection="1">
      <alignment horizontal="right" vertical="center"/>
    </xf>
    <xf numFmtId="0" fontId="3" fillId="8" borderId="11" xfId="0" applyFont="1" applyFill="1" applyBorder="1" applyAlignment="1" applyProtection="1">
      <alignment horizontal="centerContinuous" vertical="center"/>
    </xf>
    <xf numFmtId="0" fontId="4" fillId="8" borderId="2" xfId="0" applyFont="1" applyFill="1" applyBorder="1" applyAlignment="1" applyProtection="1">
      <alignment horizontal="centerContinuous" vertical="center"/>
    </xf>
    <xf numFmtId="0" fontId="4" fillId="8" borderId="12" xfId="0" applyFont="1" applyFill="1" applyBorder="1" applyAlignment="1" applyProtection="1">
      <alignment horizontal="centerContinuous" vertical="center"/>
    </xf>
    <xf numFmtId="0" fontId="4" fillId="10" borderId="2" xfId="0" applyFont="1" applyFill="1" applyBorder="1" applyAlignment="1" applyProtection="1">
      <alignment horizontal="centerContinuous"/>
    </xf>
    <xf numFmtId="0" fontId="4" fillId="10" borderId="12" xfId="0" applyFont="1" applyFill="1" applyBorder="1" applyAlignment="1" applyProtection="1">
      <alignment horizontal="centerContinuous"/>
    </xf>
    <xf numFmtId="164" fontId="5" fillId="0" borderId="6" xfId="0" applyNumberFormat="1" applyFont="1" applyFill="1" applyBorder="1" applyAlignment="1" applyProtection="1">
      <alignment horizontal="center" vertical="center"/>
    </xf>
    <xf numFmtId="3" fontId="3" fillId="0" borderId="0" xfId="0" applyNumberFormat="1" applyFont="1" applyFill="1" applyAlignment="1" applyProtection="1">
      <alignment horizontal="center"/>
      <protection locked="0"/>
    </xf>
    <xf numFmtId="164" fontId="3" fillId="0" borderId="0" xfId="0" applyNumberFormat="1" applyFont="1" applyFill="1" applyAlignment="1" applyProtection="1">
      <alignment horizontal="center"/>
      <protection locked="0"/>
    </xf>
    <xf numFmtId="3" fontId="9" fillId="0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</xf>
    <xf numFmtId="0" fontId="22" fillId="0" borderId="11" xfId="3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24" fillId="0" borderId="0" xfId="0" applyFont="1">
      <alignment vertical="center"/>
    </xf>
    <xf numFmtId="0" fontId="13" fillId="0" borderId="4" xfId="0" applyFont="1" applyFill="1" applyBorder="1" applyAlignment="1" applyProtection="1">
      <alignment horizontal="left" vertical="center" wrapText="1"/>
    </xf>
    <xf numFmtId="0" fontId="4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18" fillId="0" borderId="6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right" vertical="center"/>
    </xf>
    <xf numFmtId="3" fontId="3" fillId="0" borderId="0" xfId="0" applyNumberFormat="1" applyFont="1" applyFill="1" applyAlignment="1" applyProtection="1">
      <alignment vertical="center"/>
    </xf>
    <xf numFmtId="164" fontId="3" fillId="0" borderId="0" xfId="0" applyNumberFormat="1" applyFont="1" applyFill="1" applyAlignment="1" applyProtection="1">
      <alignment vertical="center"/>
    </xf>
    <xf numFmtId="164" fontId="4" fillId="0" borderId="0" xfId="0" applyNumberFormat="1" applyFont="1" applyFill="1" applyAlignment="1" applyProtection="1">
      <alignment horizontal="right" vertical="center"/>
    </xf>
    <xf numFmtId="14" fontId="4" fillId="0" borderId="0" xfId="0" applyNumberFormat="1" applyFont="1" applyFill="1" applyAlignment="1" applyProtection="1">
      <alignment horizontal="left" vertical="center"/>
    </xf>
    <xf numFmtId="164" fontId="5" fillId="0" borderId="0" xfId="0" applyNumberFormat="1" applyFont="1" applyFill="1" applyAlignment="1" applyProtection="1">
      <alignment horizontal="right" vertical="center"/>
      <protection locked="0"/>
    </xf>
    <xf numFmtId="164" fontId="3" fillId="3" borderId="22" xfId="0" applyNumberFormat="1" applyFont="1" applyFill="1" applyBorder="1" applyAlignment="1" applyProtection="1">
      <alignment horizontal="left" vertical="center"/>
      <protection locked="0"/>
    </xf>
    <xf numFmtId="164" fontId="3" fillId="7" borderId="23" xfId="0" applyNumberFormat="1" applyFont="1" applyFill="1" applyBorder="1" applyAlignment="1" applyProtection="1">
      <alignment horizontal="left" vertical="center"/>
      <protection locked="0"/>
    </xf>
    <xf numFmtId="164" fontId="3" fillId="3" borderId="21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</xf>
    <xf numFmtId="3" fontId="3" fillId="7" borderId="0" xfId="0" applyNumberFormat="1" applyFont="1" applyFill="1" applyAlignment="1" applyProtection="1">
      <alignment vertical="center"/>
      <protection locked="0"/>
    </xf>
    <xf numFmtId="3" fontId="4" fillId="0" borderId="0" xfId="0" applyNumberFormat="1" applyFont="1" applyFill="1" applyAlignment="1" applyProtection="1">
      <alignment vertical="center"/>
    </xf>
    <xf numFmtId="164" fontId="4" fillId="0" borderId="0" xfId="0" applyNumberFormat="1" applyFont="1" applyFill="1" applyAlignment="1" applyProtection="1">
      <alignment vertical="center"/>
    </xf>
    <xf numFmtId="3" fontId="8" fillId="0" borderId="0" xfId="0" applyNumberFormat="1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6" fillId="11" borderId="0" xfId="0" applyFont="1" applyFill="1" applyProtection="1">
      <alignment vertical="center"/>
    </xf>
    <xf numFmtId="0" fontId="27" fillId="11" borderId="0" xfId="0" applyFont="1" applyFill="1" applyAlignment="1" applyProtection="1">
      <alignment vertical="center"/>
    </xf>
    <xf numFmtId="3" fontId="3" fillId="3" borderId="24" xfId="0" applyNumberFormat="1" applyFont="1" applyFill="1" applyBorder="1" applyAlignment="1" applyProtection="1">
      <alignment horizontal="center" vertical="center"/>
      <protection locked="0"/>
    </xf>
    <xf numFmtId="164" fontId="4" fillId="0" borderId="0" xfId="0" applyNumberFormat="1" applyFont="1" applyFill="1" applyAlignment="1" applyProtection="1">
      <alignment horizontal="center" vertical="center"/>
    </xf>
    <xf numFmtId="3" fontId="3" fillId="3" borderId="17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</xf>
    <xf numFmtId="3" fontId="3" fillId="3" borderId="19" xfId="0" applyNumberFormat="1" applyFont="1" applyFill="1" applyBorder="1" applyAlignment="1" applyProtection="1">
      <alignment horizontal="center" vertical="center"/>
      <protection locked="0"/>
    </xf>
    <xf numFmtId="3" fontId="3" fillId="0" borderId="0" xfId="0" applyNumberFormat="1" applyFont="1" applyFill="1" applyAlignment="1" applyProtection="1">
      <alignment horizontal="center" vertical="center"/>
      <protection locked="0"/>
    </xf>
    <xf numFmtId="9" fontId="4" fillId="6" borderId="0" xfId="4" applyFont="1" applyFill="1" applyAlignment="1" applyProtection="1">
      <alignment vertical="center"/>
    </xf>
    <xf numFmtId="168" fontId="3" fillId="3" borderId="25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</xf>
    <xf numFmtId="168" fontId="4" fillId="0" borderId="0" xfId="0" applyNumberFormat="1" applyFont="1" applyFill="1" applyAlignment="1" applyProtection="1">
      <alignment horizontal="center" vertical="center"/>
    </xf>
    <xf numFmtId="168" fontId="3" fillId="3" borderId="18" xfId="0" applyNumberFormat="1" applyFont="1" applyFill="1" applyBorder="1" applyAlignment="1" applyProtection="1">
      <alignment horizontal="center" vertical="center"/>
      <protection locked="0"/>
    </xf>
    <xf numFmtId="168" fontId="3" fillId="3" borderId="20" xfId="0" applyNumberFormat="1" applyFont="1" applyFill="1" applyBorder="1" applyAlignment="1" applyProtection="1">
      <alignment horizontal="center" vertical="center"/>
      <protection locked="0"/>
    </xf>
    <xf numFmtId="168" fontId="3" fillId="0" borderId="0" xfId="0" applyNumberFormat="1" applyFont="1" applyFill="1" applyAlignment="1" applyProtection="1">
      <alignment horizontal="center" vertical="center"/>
      <protection locked="0"/>
    </xf>
    <xf numFmtId="0" fontId="11" fillId="0" borderId="0" xfId="0" applyFont="1" applyFill="1" applyAlignment="1" applyProtection="1">
      <alignment horizontal="right" vertical="top"/>
    </xf>
    <xf numFmtId="0" fontId="11" fillId="0" borderId="0" xfId="0" applyFont="1" applyFill="1" applyAlignment="1" applyProtection="1">
      <alignment vertical="top" wrapText="1"/>
    </xf>
    <xf numFmtId="0" fontId="13" fillId="0" borderId="0" xfId="0" applyFont="1" applyFill="1" applyAlignment="1" applyProtection="1">
      <alignment horizontal="right" vertical="top"/>
    </xf>
    <xf numFmtId="0" fontId="0" fillId="0" borderId="1" xfId="0" applyFont="1" applyFill="1" applyBorder="1" applyAlignment="1" applyProtection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</xf>
    <xf numFmtId="0" fontId="0" fillId="0" borderId="0" xfId="0" applyFont="1" applyFill="1" applyAlignment="1" applyProtection="1">
      <alignment horizontal="right" vertical="center"/>
    </xf>
    <xf numFmtId="3" fontId="4" fillId="0" borderId="1" xfId="0" applyNumberFormat="1" applyFont="1" applyFill="1" applyBorder="1" applyAlignment="1" applyProtection="1">
      <alignment horizontal="center" wrapText="1"/>
    </xf>
    <xf numFmtId="0" fontId="3" fillId="0" borderId="26" xfId="0" applyFont="1" applyFill="1" applyBorder="1">
      <alignment vertical="center"/>
    </xf>
    <xf numFmtId="3" fontId="3" fillId="0" borderId="27" xfId="0" applyNumberFormat="1" applyFont="1" applyFill="1" applyBorder="1" applyAlignment="1" applyProtection="1">
      <alignment vertical="center"/>
    </xf>
    <xf numFmtId="164" fontId="3" fillId="0" borderId="28" xfId="0" applyNumberFormat="1" applyFont="1" applyFill="1" applyBorder="1" applyAlignment="1" applyProtection="1">
      <alignment vertical="center"/>
    </xf>
    <xf numFmtId="0" fontId="4" fillId="0" borderId="6" xfId="0" applyFont="1" applyFill="1" applyBorder="1" applyProtection="1">
      <alignment vertical="center"/>
    </xf>
    <xf numFmtId="0" fontId="3" fillId="7" borderId="22" xfId="0" applyFont="1" applyFill="1" applyBorder="1" applyAlignment="1" applyProtection="1">
      <alignment horizontal="left" vertical="center"/>
      <protection locked="0"/>
    </xf>
    <xf numFmtId="0" fontId="3" fillId="0" borderId="26" xfId="0" applyFont="1" applyFill="1" applyBorder="1" applyAlignment="1" applyProtection="1">
      <alignment horizontal="left" vertical="center"/>
    </xf>
    <xf numFmtId="0" fontId="13" fillId="0" borderId="4" xfId="0" applyFont="1" applyFill="1" applyBorder="1" applyAlignment="1" applyProtection="1">
      <alignment horizontal="left" vertical="center"/>
    </xf>
    <xf numFmtId="3" fontId="5" fillId="0" borderId="5" xfId="0" applyNumberFormat="1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left" vertical="center"/>
    </xf>
    <xf numFmtId="0" fontId="15" fillId="0" borderId="4" xfId="0" applyFont="1" applyFill="1" applyBorder="1" applyAlignment="1" applyProtection="1">
      <alignment horizontal="center" vertical="center"/>
    </xf>
    <xf numFmtId="3" fontId="4" fillId="0" borderId="5" xfId="0" applyNumberFormat="1" applyFont="1" applyFill="1" applyBorder="1" applyAlignment="1" applyProtection="1">
      <alignment horizontal="center" vertical="center"/>
    </xf>
    <xf numFmtId="168" fontId="3" fillId="0" borderId="0" xfId="0" applyNumberFormat="1" applyFont="1" applyFill="1" applyAlignment="1" applyProtection="1">
      <alignment horizontal="center" vertical="center"/>
    </xf>
    <xf numFmtId="168" fontId="3" fillId="0" borderId="5" xfId="0" applyNumberFormat="1" applyFont="1" applyFill="1" applyBorder="1" applyAlignment="1" applyProtection="1">
      <alignment horizontal="center" vertical="center"/>
    </xf>
    <xf numFmtId="3" fontId="4" fillId="0" borderId="8" xfId="0" applyNumberFormat="1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right" vertical="center"/>
    </xf>
    <xf numFmtId="4" fontId="4" fillId="9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vertical="center"/>
    </xf>
    <xf numFmtId="4" fontId="4" fillId="0" borderId="10" xfId="0" applyNumberFormat="1" applyFont="1" applyFill="1" applyBorder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alignment horizontal="right" vertical="center"/>
    </xf>
    <xf numFmtId="0" fontId="4" fillId="0" borderId="3" xfId="0" applyFont="1" applyFill="1" applyBorder="1" applyAlignment="1" applyProtection="1">
      <alignment vertical="center"/>
    </xf>
    <xf numFmtId="3" fontId="3" fillId="0" borderId="4" xfId="0" applyNumberFormat="1" applyFont="1" applyFill="1" applyBorder="1" applyAlignment="1" applyProtection="1">
      <alignment horizontal="right" vertical="center"/>
    </xf>
    <xf numFmtId="0" fontId="3" fillId="0" borderId="26" xfId="0" applyFont="1" applyFill="1" applyBorder="1" applyAlignment="1" applyProtection="1">
      <alignment horizontal="left" vertical="center"/>
    </xf>
    <xf numFmtId="0" fontId="18" fillId="0" borderId="6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Alignment="1">
      <alignment vertical="center"/>
    </xf>
    <xf numFmtId="0" fontId="16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4" fontId="5" fillId="0" borderId="5" xfId="0" applyNumberFormat="1" applyFont="1" applyFill="1" applyBorder="1" applyAlignment="1" applyProtection="1">
      <alignment horizontal="center" vertical="center"/>
    </xf>
    <xf numFmtId="164" fontId="5" fillId="3" borderId="4" xfId="0" applyNumberFormat="1" applyFont="1" applyFill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15" fillId="0" borderId="3" xfId="0" applyFont="1" applyFill="1" applyBorder="1" applyAlignment="1" applyProtection="1">
      <alignment horizontal="center" vertical="center"/>
    </xf>
    <xf numFmtId="0" fontId="14" fillId="0" borderId="3" xfId="0" applyFont="1" applyFill="1" applyBorder="1" applyAlignment="1" applyProtection="1">
      <alignment horizontal="center" vertical="center"/>
    </xf>
    <xf numFmtId="0" fontId="17" fillId="0" borderId="3" xfId="0" applyFont="1" applyFill="1" applyBorder="1" applyAlignment="1" applyProtection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>
      <alignment vertical="center"/>
    </xf>
    <xf numFmtId="0" fontId="15" fillId="0" borderId="4" xfId="0" applyFont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7" fillId="0" borderId="4" xfId="0" applyFont="1" applyFill="1" applyBorder="1" applyAlignment="1" applyProtection="1">
      <alignment horizontal="left" vertical="center"/>
    </xf>
    <xf numFmtId="164" fontId="15" fillId="3" borderId="4" xfId="0" applyNumberFormat="1" applyFont="1" applyFill="1" applyBorder="1" applyAlignment="1" applyProtection="1">
      <alignment horizontal="center" vertical="center"/>
    </xf>
    <xf numFmtId="164" fontId="15" fillId="0" borderId="5" xfId="0" applyNumberFormat="1" applyFont="1" applyFill="1" applyBorder="1" applyAlignment="1" applyProtection="1">
      <alignment horizontal="center" vertical="center"/>
    </xf>
    <xf numFmtId="164" fontId="14" fillId="3" borderId="4" xfId="0" applyNumberFormat="1" applyFont="1" applyFill="1" applyBorder="1" applyAlignment="1" applyProtection="1">
      <alignment horizontal="center" vertical="center"/>
    </xf>
    <xf numFmtId="4" fontId="15" fillId="0" borderId="5" xfId="0" applyNumberFormat="1" applyFont="1" applyFill="1" applyBorder="1" applyAlignment="1" applyProtection="1">
      <alignment horizontal="center" vertical="center"/>
    </xf>
    <xf numFmtId="0" fontId="17" fillId="0" borderId="3" xfId="0" applyFont="1" applyFill="1" applyBorder="1" applyAlignment="1" applyProtection="1">
      <alignment horizontal="center" vertical="center" wrapText="1"/>
    </xf>
    <xf numFmtId="4" fontId="14" fillId="0" borderId="5" xfId="0" applyNumberFormat="1" applyFont="1" applyFill="1" applyBorder="1" applyAlignment="1" applyProtection="1">
      <alignment horizontal="center" vertical="center"/>
    </xf>
    <xf numFmtId="0" fontId="17" fillId="0" borderId="4" xfId="0" applyFont="1" applyFill="1" applyBorder="1" applyAlignment="1" applyProtection="1">
      <alignment horizontal="left" vertical="center" wrapText="1"/>
    </xf>
    <xf numFmtId="168" fontId="3" fillId="0" borderId="10" xfId="0" applyNumberFormat="1" applyFont="1" applyFill="1" applyBorder="1" applyAlignment="1" applyProtection="1">
      <alignment horizontal="center" vertical="center"/>
    </xf>
    <xf numFmtId="9" fontId="4" fillId="9" borderId="10" xfId="4" applyFont="1" applyFill="1" applyBorder="1" applyAlignment="1" applyProtection="1">
      <alignment horizontal="center" vertical="center"/>
      <protection locked="0"/>
    </xf>
    <xf numFmtId="0" fontId="3" fillId="10" borderId="11" xfId="0" applyFont="1" applyFill="1" applyBorder="1" applyAlignment="1" applyProtection="1">
      <alignment horizontal="centerContinuous" vertical="center"/>
    </xf>
    <xf numFmtId="3" fontId="4" fillId="9" borderId="29" xfId="0" applyNumberFormat="1" applyFont="1" applyFill="1" applyBorder="1" applyAlignment="1" applyProtection="1">
      <alignment horizontal="center" vertical="center"/>
      <protection locked="0"/>
    </xf>
    <xf numFmtId="4" fontId="4" fillId="9" borderId="30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vertical="top"/>
    </xf>
    <xf numFmtId="0" fontId="29" fillId="0" borderId="0" xfId="0" applyFont="1" applyAlignment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0" fillId="0" borderId="0" xfId="0" applyFill="1" applyAlignment="1">
      <alignment vertical="center"/>
    </xf>
    <xf numFmtId="164" fontId="3" fillId="0" borderId="0" xfId="0" applyNumberFormat="1" applyFont="1" applyFill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0" fontId="12" fillId="0" borderId="0" xfId="0" applyFont="1" applyAlignment="1">
      <alignment horizontal="center" vertical="center"/>
    </xf>
    <xf numFmtId="0" fontId="9" fillId="0" borderId="13" xfId="3" applyFont="1" applyFill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14" fillId="0" borderId="15" xfId="3" applyFont="1" applyFill="1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9" fillId="0" borderId="6" xfId="3" applyFont="1" applyFill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5" fillId="0" borderId="0" xfId="3" applyFont="1" applyFill="1" applyBorder="1" applyAlignment="1">
      <alignment horizontal="left" vertical="center"/>
    </xf>
    <xf numFmtId="0" fontId="5" fillId="0" borderId="13" xfId="3" applyFont="1" applyFill="1" applyBorder="1" applyAlignment="1">
      <alignment horizontal="left" vertical="center"/>
    </xf>
    <xf numFmtId="0" fontId="5" fillId="0" borderId="14" xfId="3" applyFont="1" applyFill="1" applyBorder="1" applyAlignment="1">
      <alignment horizontal="left" vertical="center"/>
    </xf>
    <xf numFmtId="0" fontId="0" fillId="0" borderId="14" xfId="0" applyBorder="1" applyAlignment="1">
      <alignment vertical="center"/>
    </xf>
    <xf numFmtId="0" fontId="5" fillId="0" borderId="15" xfId="3" applyFont="1" applyFill="1" applyBorder="1" applyAlignment="1">
      <alignment horizontal="left" vertical="center"/>
    </xf>
    <xf numFmtId="0" fontId="5" fillId="0" borderId="0" xfId="3" applyFont="1" applyFill="1" applyAlignment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0" fillId="0" borderId="0" xfId="0" applyBorder="1">
      <alignment vertical="center"/>
    </xf>
    <xf numFmtId="0" fontId="0" fillId="0" borderId="0" xfId="0" applyFont="1" applyFill="1" applyBorder="1" applyAlignment="1" applyProtection="1">
      <alignment horizontal="right" vertical="center"/>
    </xf>
    <xf numFmtId="0" fontId="3" fillId="0" borderId="0" xfId="0" applyFont="1" applyFill="1" applyBorder="1">
      <alignment vertical="center"/>
    </xf>
    <xf numFmtId="164" fontId="4" fillId="0" borderId="0" xfId="0" applyNumberFormat="1" applyFont="1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3" fontId="8" fillId="0" borderId="0" xfId="0" applyNumberFormat="1" applyFont="1" applyFill="1" applyBorder="1" applyAlignment="1" applyProtection="1">
      <alignment vertical="center"/>
    </xf>
    <xf numFmtId="3" fontId="4" fillId="0" borderId="0" xfId="0" applyNumberFormat="1" applyFont="1" applyFill="1" applyBorder="1" applyAlignment="1" applyProtection="1">
      <alignment vertical="center"/>
    </xf>
    <xf numFmtId="3" fontId="3" fillId="0" borderId="0" xfId="0" applyNumberFormat="1" applyFont="1" applyFill="1" applyBorder="1" applyAlignment="1" applyProtection="1">
      <alignment vertical="center"/>
    </xf>
    <xf numFmtId="164" fontId="3" fillId="0" borderId="0" xfId="0" applyNumberFormat="1" applyFont="1" applyFill="1" applyBorder="1" applyAlignment="1" applyProtection="1">
      <alignment vertical="center"/>
    </xf>
    <xf numFmtId="164" fontId="4" fillId="0" borderId="0" xfId="0" applyNumberFormat="1" applyFont="1" applyFill="1" applyBorder="1" applyAlignment="1" applyProtection="1">
      <alignment horizontal="right" vertical="center"/>
    </xf>
    <xf numFmtId="14" fontId="4" fillId="0" borderId="0" xfId="0" applyNumberFormat="1" applyFont="1" applyFill="1" applyBorder="1" applyAlignment="1" applyProtection="1">
      <alignment horizontal="left" vertical="center"/>
    </xf>
    <xf numFmtId="3" fontId="0" fillId="0" borderId="0" xfId="0" applyNumberFormat="1" applyFill="1" applyBorder="1" applyAlignment="1" applyProtection="1">
      <alignment horizontal="right" vertical="center"/>
      <protection locked="0"/>
    </xf>
    <xf numFmtId="3" fontId="0" fillId="0" borderId="0" xfId="0" applyNumberFormat="1" applyBorder="1" applyAlignment="1" applyProtection="1">
      <alignment vertical="center"/>
    </xf>
    <xf numFmtId="168" fontId="4" fillId="3" borderId="13" xfId="0" applyNumberFormat="1" applyFont="1" applyFill="1" applyBorder="1" applyAlignment="1" applyProtection="1">
      <alignment horizontal="right" vertical="center"/>
      <protection locked="0"/>
    </xf>
    <xf numFmtId="168" fontId="4" fillId="0" borderId="13" xfId="0" applyNumberFormat="1" applyFont="1" applyBorder="1" applyAlignment="1">
      <alignment horizontal="right" vertical="center"/>
    </xf>
    <xf numFmtId="168" fontId="4" fillId="3" borderId="15" xfId="0" applyNumberFormat="1" applyFont="1" applyFill="1" applyBorder="1" applyAlignment="1" applyProtection="1">
      <alignment horizontal="right" vertical="center"/>
      <protection locked="0"/>
    </xf>
    <xf numFmtId="168" fontId="4" fillId="0" borderId="15" xfId="0" applyNumberFormat="1" applyFont="1" applyBorder="1" applyAlignment="1">
      <alignment horizontal="right" vertical="center"/>
    </xf>
    <xf numFmtId="168" fontId="4" fillId="0" borderId="6" xfId="0" applyNumberFormat="1" applyFont="1" applyBorder="1" applyAlignment="1">
      <alignment horizontal="right" vertical="center"/>
    </xf>
    <xf numFmtId="168" fontId="4" fillId="0" borderId="0" xfId="0" applyNumberFormat="1" applyFont="1" applyAlignment="1">
      <alignment horizontal="right" vertical="center"/>
    </xf>
    <xf numFmtId="168" fontId="4" fillId="0" borderId="14" xfId="0" applyNumberFormat="1" applyFont="1" applyBorder="1" applyAlignment="1">
      <alignment horizontal="right" vertical="center"/>
    </xf>
    <xf numFmtId="168" fontId="3" fillId="0" borderId="2" xfId="0" applyNumberFormat="1" applyFont="1" applyBorder="1" applyAlignment="1">
      <alignment horizontal="right" vertical="center"/>
    </xf>
    <xf numFmtId="168" fontId="3" fillId="0" borderId="12" xfId="0" applyNumberFormat="1" applyFont="1" applyBorder="1" applyAlignment="1">
      <alignment horizontal="right" vertical="center"/>
    </xf>
    <xf numFmtId="0" fontId="3" fillId="3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 applyProtection="1">
      <alignment horizontal="center" vertical="center"/>
    </xf>
    <xf numFmtId="0" fontId="18" fillId="0" borderId="6" xfId="0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/>
    </xf>
    <xf numFmtId="0" fontId="3" fillId="0" borderId="26" xfId="0" applyFont="1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horizontal="center" vertical="center"/>
    </xf>
    <xf numFmtId="0" fontId="18" fillId="0" borderId="4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/>
    </xf>
    <xf numFmtId="0" fontId="7" fillId="0" borderId="0" xfId="0" applyFont="1" applyFill="1" applyAlignment="1" applyProtection="1">
      <alignment horizontal="center" vertical="center"/>
    </xf>
    <xf numFmtId="0" fontId="3" fillId="3" borderId="21" xfId="0" applyFont="1" applyFill="1" applyBorder="1" applyAlignment="1" applyProtection="1">
      <alignment horizontal="left" vertical="center"/>
      <protection locked="0"/>
    </xf>
    <xf numFmtId="0" fontId="2" fillId="4" borderId="2" xfId="0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5" borderId="2" xfId="0" applyFont="1" applyFill="1" applyBorder="1" applyAlignment="1" applyProtection="1">
      <alignment horizontal="center"/>
    </xf>
    <xf numFmtId="0" fontId="9" fillId="0" borderId="0" xfId="0" applyFont="1" applyFill="1" applyAlignment="1" applyProtection="1">
      <alignment horizontal="right"/>
    </xf>
    <xf numFmtId="0" fontId="0" fillId="0" borderId="2" xfId="0" applyBorder="1" applyAlignment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" vertical="center"/>
    </xf>
  </cellXfs>
  <cellStyles count="5">
    <cellStyle name="Chart" xfId="2" xr:uid="{00000000-0005-0000-0000-000000000000}"/>
    <cellStyle name="Normal" xfId="0" builtinId="0" customBuiltin="1"/>
    <cellStyle name="Normal 2" xfId="1" xr:uid="{00000000-0005-0000-0000-000002000000}"/>
    <cellStyle name="Normal 3" xfId="3" xr:uid="{00000000-0005-0000-0000-000003000000}"/>
    <cellStyle name="Percent" xfId="4" builtinId="5"/>
  </cellStyles>
  <dxfs count="6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D9D9D9"/>
      <color rgb="FFDDD9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155"/>
  <sheetViews>
    <sheetView showGridLines="0" tabSelected="1" zoomScaleNormal="100" workbookViewId="0">
      <selection activeCell="C2" sqref="C2"/>
    </sheetView>
  </sheetViews>
  <sheetFormatPr defaultColWidth="9.140625" defaultRowHeight="12.75" x14ac:dyDescent="0.2"/>
  <cols>
    <col min="1" max="1" width="14.7109375" style="1" customWidth="1"/>
    <col min="2" max="2" width="36.7109375" style="1" customWidth="1"/>
    <col min="3" max="3" width="14.7109375" style="20" customWidth="1"/>
    <col min="4" max="5" width="14.7109375" style="21" customWidth="1"/>
    <col min="6" max="6" width="16.7109375" style="21" customWidth="1"/>
    <col min="7" max="16384" width="9.140625" style="1"/>
  </cols>
  <sheetData>
    <row r="1" spans="1:7" ht="23.25" x14ac:dyDescent="0.2">
      <c r="A1" s="206" t="s">
        <v>77</v>
      </c>
      <c r="B1" s="206"/>
      <c r="C1" s="206"/>
      <c r="D1" s="206"/>
      <c r="E1" s="206"/>
      <c r="F1" s="206"/>
      <c r="G1" s="77" t="s">
        <v>91</v>
      </c>
    </row>
    <row r="2" spans="1:7" x14ac:dyDescent="0.2">
      <c r="A2" s="70"/>
      <c r="B2" s="96" t="s">
        <v>94</v>
      </c>
      <c r="C2" s="71" t="s">
        <v>89</v>
      </c>
      <c r="D2" s="73"/>
      <c r="E2" s="73"/>
      <c r="F2" s="73"/>
    </row>
    <row r="3" spans="1:7" ht="18" x14ac:dyDescent="0.2">
      <c r="A3" s="70"/>
      <c r="B3" s="70"/>
      <c r="C3" s="74"/>
      <c r="D3" s="73"/>
      <c r="E3" s="64" t="s">
        <v>1</v>
      </c>
      <c r="F3" s="65">
        <f ca="1" xml:space="preserve"> TODAY()</f>
        <v>45469</v>
      </c>
      <c r="G3" s="76"/>
    </row>
    <row r="4" spans="1:7" ht="18.75" thickBot="1" x14ac:dyDescent="0.25">
      <c r="A4" s="96" t="s">
        <v>107</v>
      </c>
      <c r="B4" s="102" t="s">
        <v>79</v>
      </c>
      <c r="C4" s="62"/>
      <c r="D4" s="63"/>
      <c r="E4" s="66" t="s">
        <v>3</v>
      </c>
      <c r="F4" s="67" t="s">
        <v>4</v>
      </c>
      <c r="G4" s="76"/>
    </row>
    <row r="5" spans="1:7" ht="19.5" thickTop="1" thickBot="1" x14ac:dyDescent="0.25">
      <c r="A5" s="96" t="s">
        <v>108</v>
      </c>
      <c r="B5" s="207" t="s">
        <v>90</v>
      </c>
      <c r="C5" s="207"/>
      <c r="D5" s="207"/>
      <c r="E5" s="66" t="s">
        <v>5</v>
      </c>
      <c r="F5" s="68" t="s">
        <v>6</v>
      </c>
      <c r="G5" s="76"/>
    </row>
    <row r="6" spans="1:7" ht="18.75" thickTop="1" x14ac:dyDescent="0.2">
      <c r="A6" s="61"/>
      <c r="B6" s="75"/>
      <c r="C6" s="75"/>
      <c r="D6" s="75"/>
      <c r="E6" s="64" t="s">
        <v>7</v>
      </c>
      <c r="F6" s="69" t="s">
        <v>8</v>
      </c>
      <c r="G6" s="76"/>
    </row>
    <row r="7" spans="1:7" ht="13.5" thickBot="1" x14ac:dyDescent="0.25">
      <c r="A7" s="70"/>
      <c r="B7" s="70"/>
      <c r="C7" s="72"/>
      <c r="D7" s="73"/>
      <c r="E7" s="64"/>
      <c r="F7" s="63"/>
    </row>
    <row r="8" spans="1:7" ht="18.75" thickBot="1" x14ac:dyDescent="0.25">
      <c r="A8" s="208" t="s">
        <v>9</v>
      </c>
      <c r="B8" s="208"/>
      <c r="C8" s="208"/>
      <c r="D8" s="208"/>
      <c r="E8" s="208"/>
      <c r="F8" s="208"/>
      <c r="G8" s="84">
        <f>VALUE(_xlfn.TEXTAFTER(_xlfn.TEXTBEFORE(A8,"Max"),"("))</f>
        <v>0.05</v>
      </c>
    </row>
    <row r="9" spans="1:7" ht="26.25" thickBot="1" x14ac:dyDescent="0.25">
      <c r="A9" s="94" t="s">
        <v>93</v>
      </c>
      <c r="B9" s="8" t="s">
        <v>10</v>
      </c>
      <c r="C9" s="95" t="str">
        <f>"Quantity"&amp;CHAR(10)&amp;IF(Units="US CUSTOMARY"," (Ton or SY)"," (tonnes or m2)")</f>
        <v>Quantity
 (Ton or SY)</v>
      </c>
      <c r="D9" s="9" t="s">
        <v>11</v>
      </c>
      <c r="E9" s="95" t="str">
        <f>"Q_"&amp;IF(Units="US CUSTOMARY","Ton","t")&amp;CHAR(10)&amp;"Unit Price"</f>
        <v>Q_Ton
Unit Price</v>
      </c>
      <c r="F9" s="9" t="s">
        <v>12</v>
      </c>
    </row>
    <row r="10" spans="1:7" ht="19.5" thickTop="1" thickBot="1" x14ac:dyDescent="0.25">
      <c r="A10" s="57">
        <v>301</v>
      </c>
      <c r="B10" s="56" t="s">
        <v>97</v>
      </c>
      <c r="C10" s="78"/>
      <c r="D10" s="85"/>
      <c r="E10" s="87">
        <f t="shared" ref="E10:E16" si="0">ROUND(D10*Materials1,2)</f>
        <v>0</v>
      </c>
      <c r="F10" s="87">
        <f>C10*E10</f>
        <v>0</v>
      </c>
      <c r="G10" s="76"/>
    </row>
    <row r="11" spans="1:7" ht="19.5" thickTop="1" thickBot="1" x14ac:dyDescent="0.25">
      <c r="A11" s="57" t="str">
        <f>IF(FP="FP-24","308","309")</f>
        <v>309</v>
      </c>
      <c r="B11" s="56" t="s">
        <v>98</v>
      </c>
      <c r="C11" s="80"/>
      <c r="D11" s="88"/>
      <c r="E11" s="87">
        <f t="shared" si="0"/>
        <v>0</v>
      </c>
      <c r="F11" s="87">
        <f t="shared" ref="F11:F16" si="1">C11*E11</f>
        <v>0</v>
      </c>
      <c r="G11" s="76"/>
    </row>
    <row r="12" spans="1:7" ht="19.5" thickTop="1" thickBot="1" x14ac:dyDescent="0.25">
      <c r="A12" s="81">
        <v>311</v>
      </c>
      <c r="B12" s="56" t="s">
        <v>99</v>
      </c>
      <c r="C12" s="80"/>
      <c r="D12" s="88"/>
      <c r="E12" s="87">
        <f t="shared" si="0"/>
        <v>0</v>
      </c>
      <c r="F12" s="87">
        <f t="shared" si="1"/>
        <v>0</v>
      </c>
      <c r="G12" s="76"/>
    </row>
    <row r="13" spans="1:7" ht="19.5" thickTop="1" thickBot="1" x14ac:dyDescent="0.25">
      <c r="A13" s="57">
        <v>405</v>
      </c>
      <c r="B13" s="56" t="s">
        <v>100</v>
      </c>
      <c r="C13" s="80"/>
      <c r="D13" s="88"/>
      <c r="E13" s="87">
        <f t="shared" si="0"/>
        <v>0</v>
      </c>
      <c r="F13" s="87">
        <f t="shared" si="1"/>
        <v>0</v>
      </c>
      <c r="G13" s="76"/>
    </row>
    <row r="14" spans="1:7" ht="19.5" thickTop="1" thickBot="1" x14ac:dyDescent="0.25">
      <c r="A14" s="57">
        <v>407</v>
      </c>
      <c r="B14" s="56" t="s">
        <v>101</v>
      </c>
      <c r="C14" s="80"/>
      <c r="D14" s="88"/>
      <c r="E14" s="87">
        <f t="shared" si="0"/>
        <v>0</v>
      </c>
      <c r="F14" s="87">
        <f t="shared" si="1"/>
        <v>0</v>
      </c>
      <c r="G14" s="76"/>
    </row>
    <row r="15" spans="1:7" ht="19.5" thickTop="1" thickBot="1" x14ac:dyDescent="0.25">
      <c r="A15" s="58" t="s">
        <v>92</v>
      </c>
      <c r="B15" s="56"/>
      <c r="C15" s="82"/>
      <c r="D15" s="89"/>
      <c r="E15" s="87">
        <f t="shared" si="0"/>
        <v>0</v>
      </c>
      <c r="F15" s="87">
        <f t="shared" si="1"/>
        <v>0</v>
      </c>
      <c r="G15" s="76"/>
    </row>
    <row r="16" spans="1:7" ht="18.75" thickTop="1" x14ac:dyDescent="0.2">
      <c r="A16" s="58" t="s">
        <v>92</v>
      </c>
      <c r="B16" s="56"/>
      <c r="C16" s="82"/>
      <c r="D16" s="89"/>
      <c r="E16" s="87">
        <f t="shared" si="0"/>
        <v>0</v>
      </c>
      <c r="F16" s="87">
        <f t="shared" si="1"/>
        <v>0</v>
      </c>
      <c r="G16" s="76"/>
    </row>
    <row r="17" spans="1:7" ht="13.5" thickBot="1" x14ac:dyDescent="0.25">
      <c r="A17" s="57"/>
      <c r="B17" s="56"/>
      <c r="C17" s="83"/>
      <c r="D17" s="90"/>
      <c r="E17" s="87"/>
      <c r="F17" s="87"/>
    </row>
    <row r="18" spans="1:7" ht="18.75" thickBot="1" x14ac:dyDescent="0.25">
      <c r="A18" s="205" t="s">
        <v>13</v>
      </c>
      <c r="B18" s="205"/>
      <c r="C18" s="205"/>
      <c r="D18" s="205"/>
      <c r="E18" s="205"/>
      <c r="F18" s="205"/>
      <c r="G18" s="84">
        <f>VALUE(_xlfn.TEXTAFTER(_xlfn.TEXTBEFORE(A18,"Max"),"("))</f>
        <v>0.06</v>
      </c>
    </row>
    <row r="19" spans="1:7" ht="26.25" thickBot="1" x14ac:dyDescent="0.25">
      <c r="A19" s="94" t="s">
        <v>93</v>
      </c>
      <c r="B19" s="8" t="s">
        <v>10</v>
      </c>
      <c r="C19" s="95" t="str">
        <f>"Quantity"&amp;CHAR(10)&amp;IF(Units="US CUSTOMARY"," (Ton or SY)"," (tonnes or m2)")</f>
        <v>Quantity
 (Ton or SY)</v>
      </c>
      <c r="D19" s="9" t="s">
        <v>11</v>
      </c>
      <c r="E19" s="95" t="str">
        <f>"Q_"&amp;IF(Units="US CUSTOMARY","Ton","t")&amp;CHAR(10)&amp;"Unit Price"</f>
        <v>Q_Ton
Unit Price</v>
      </c>
      <c r="F19" s="9" t="s">
        <v>12</v>
      </c>
    </row>
    <row r="20" spans="1:7" ht="19.5" thickTop="1" thickBot="1" x14ac:dyDescent="0.25">
      <c r="A20" s="86" t="s">
        <v>103</v>
      </c>
      <c r="B20" s="56" t="s">
        <v>102</v>
      </c>
      <c r="C20" s="78"/>
      <c r="D20" s="85"/>
      <c r="E20" s="87">
        <f>ROUND(D20*Materials2,2)</f>
        <v>0</v>
      </c>
      <c r="F20" s="87">
        <f>C20*E20</f>
        <v>0</v>
      </c>
      <c r="G20" s="76"/>
    </row>
    <row r="21" spans="1:7" ht="19.5" thickTop="1" thickBot="1" x14ac:dyDescent="0.25">
      <c r="A21" s="86" t="s">
        <v>92</v>
      </c>
      <c r="B21" s="86"/>
      <c r="C21" s="80"/>
      <c r="D21" s="88"/>
      <c r="E21" s="87">
        <f>ROUND(D21*Materials2,2)</f>
        <v>0</v>
      </c>
      <c r="F21" s="87">
        <f t="shared" ref="F21:F23" si="2">C21*E21</f>
        <v>0</v>
      </c>
      <c r="G21" s="76"/>
    </row>
    <row r="22" spans="1:7" ht="19.5" thickTop="1" thickBot="1" x14ac:dyDescent="0.25">
      <c r="A22" s="86" t="s">
        <v>92</v>
      </c>
      <c r="B22" s="56"/>
      <c r="C22" s="80"/>
      <c r="D22" s="88"/>
      <c r="E22" s="87">
        <f>ROUND(D22*Materials2,2)</f>
        <v>0</v>
      </c>
      <c r="F22" s="87">
        <f t="shared" si="2"/>
        <v>0</v>
      </c>
      <c r="G22" s="76"/>
    </row>
    <row r="23" spans="1:7" ht="19.5" thickTop="1" thickBot="1" x14ac:dyDescent="0.25">
      <c r="A23" s="86"/>
      <c r="B23" s="56"/>
      <c r="C23" s="80"/>
      <c r="D23" s="88"/>
      <c r="E23" s="87">
        <f>ROUND(D23*Materials2,2)</f>
        <v>0</v>
      </c>
      <c r="F23" s="87">
        <f t="shared" si="2"/>
        <v>0</v>
      </c>
      <c r="G23" s="76"/>
    </row>
    <row r="24" spans="1:7" ht="15" customHeight="1" thickTop="1" thickBot="1" x14ac:dyDescent="0.25">
      <c r="A24" s="10"/>
      <c r="B24" s="11"/>
      <c r="C24" s="47"/>
      <c r="D24" s="48"/>
      <c r="E24" s="13"/>
      <c r="F24" s="13"/>
    </row>
    <row r="25" spans="1:7" ht="18.75" thickBot="1" x14ac:dyDescent="0.25">
      <c r="A25" s="205" t="s">
        <v>14</v>
      </c>
      <c r="B25" s="205"/>
      <c r="C25" s="205"/>
      <c r="D25" s="205"/>
      <c r="E25" s="205"/>
      <c r="F25" s="205"/>
      <c r="G25" s="84">
        <f>VALUE(_xlfn.TEXTAFTER(_xlfn.TEXTBEFORE(A25,"Max"),"("))</f>
        <v>0.01</v>
      </c>
    </row>
    <row r="26" spans="1:7" ht="26.25" thickBot="1" x14ac:dyDescent="0.25">
      <c r="A26" s="94" t="s">
        <v>93</v>
      </c>
      <c r="B26" s="8" t="s">
        <v>10</v>
      </c>
      <c r="C26" s="95" t="str">
        <f>"Quantity"&amp;CHAR(10)&amp;IF(Units="US CUSTOMARY"," (Ton or SY)"," (tonnes or m2)")</f>
        <v>Quantity
 (Ton or SY)</v>
      </c>
      <c r="D26" s="9" t="s">
        <v>11</v>
      </c>
      <c r="E26" s="95" t="str">
        <f>"Q_"&amp;IF(Units="US CUSTOMARY","Ton","t")&amp;CHAR(10)&amp;"Unit Price"</f>
        <v>Q_Ton
Unit Price</v>
      </c>
      <c r="F26" s="9" t="s">
        <v>12</v>
      </c>
    </row>
    <row r="27" spans="1:7" ht="19.5" thickTop="1" thickBot="1" x14ac:dyDescent="0.25">
      <c r="A27" s="86" t="str">
        <f>IF(FP="FP-24","404"," -")</f>
        <v xml:space="preserve"> -</v>
      </c>
      <c r="B27" s="56" t="str">
        <f>IF(FP="FP-24","Thin Lift Asphalt Concrete Pavement","                      -")</f>
        <v xml:space="preserve">                      -</v>
      </c>
      <c r="C27" s="78"/>
      <c r="D27" s="85"/>
      <c r="E27" s="87">
        <f>ROUND(D27*Materials3,2)</f>
        <v>0</v>
      </c>
      <c r="F27" s="87">
        <f>C27*E27</f>
        <v>0</v>
      </c>
      <c r="G27" s="76"/>
    </row>
    <row r="28" spans="1:7" ht="19.5" thickTop="1" thickBot="1" x14ac:dyDescent="0.25">
      <c r="A28" s="86" t="s">
        <v>92</v>
      </c>
      <c r="B28" s="56"/>
      <c r="C28" s="80"/>
      <c r="D28" s="88"/>
      <c r="E28" s="87">
        <f>ROUND(D28*Materials3,2)</f>
        <v>0</v>
      </c>
      <c r="F28" s="87">
        <f>C28*E28</f>
        <v>0</v>
      </c>
      <c r="G28" s="76"/>
    </row>
    <row r="29" spans="1:7" ht="19.5" thickTop="1" thickBot="1" x14ac:dyDescent="0.25">
      <c r="A29" s="86" t="s">
        <v>92</v>
      </c>
      <c r="B29" s="56"/>
      <c r="C29" s="80"/>
      <c r="D29" s="88"/>
      <c r="E29" s="87">
        <f>ROUND(D29*Materials3,2)</f>
        <v>0</v>
      </c>
      <c r="F29" s="87">
        <f>C29*E29</f>
        <v>0</v>
      </c>
      <c r="G29" s="76"/>
    </row>
    <row r="30" spans="1:7" ht="13.5" thickTop="1" x14ac:dyDescent="0.2">
      <c r="A30" s="10"/>
      <c r="B30" s="11"/>
      <c r="C30" s="12"/>
      <c r="D30" s="14"/>
      <c r="E30" s="13"/>
      <c r="F30" s="13"/>
    </row>
    <row r="31" spans="1:7" x14ac:dyDescent="0.2">
      <c r="A31" s="2"/>
      <c r="B31" s="2"/>
      <c r="C31" s="3"/>
      <c r="D31" s="4"/>
      <c r="E31" s="4"/>
      <c r="F31" s="4"/>
    </row>
    <row r="32" spans="1:7" x14ac:dyDescent="0.2">
      <c r="A32" s="211" t="s">
        <v>95</v>
      </c>
      <c r="B32" s="211"/>
      <c r="C32" s="211"/>
      <c r="D32" s="211"/>
      <c r="E32" s="211"/>
      <c r="F32" s="109">
        <f>SUM(F10:F16,F20:F23,F27:F29)</f>
        <v>0</v>
      </c>
    </row>
    <row r="33" spans="1:7" ht="13.5" thickBot="1" x14ac:dyDescent="0.25">
      <c r="A33" s="15"/>
      <c r="B33" s="15"/>
      <c r="C33" s="15"/>
      <c r="D33" s="15"/>
      <c r="E33" s="15"/>
      <c r="F33" s="16"/>
    </row>
    <row r="34" spans="1:7" ht="18.75" thickBot="1" x14ac:dyDescent="0.25">
      <c r="A34" s="210" t="s">
        <v>15</v>
      </c>
      <c r="B34" s="210"/>
      <c r="C34" s="210"/>
      <c r="D34" s="210"/>
      <c r="E34" s="210"/>
      <c r="F34" s="210"/>
    </row>
    <row r="35" spans="1:7" ht="26.25" thickBot="1" x14ac:dyDescent="0.25">
      <c r="A35" s="94" t="s">
        <v>93</v>
      </c>
      <c r="B35" s="8" t="s">
        <v>10</v>
      </c>
      <c r="C35" s="97" t="str">
        <f>"Project"&amp;CHAR(10)&amp;"Lane-"&amp;IF(Units="US CUSTOMARY","miles","kilometers")</f>
        <v>Project
Lane-miles</v>
      </c>
      <c r="D35" s="9"/>
      <c r="E35" s="9"/>
      <c r="F35" s="9" t="s">
        <v>12</v>
      </c>
    </row>
    <row r="36" spans="1:7" ht="19.5" thickTop="1" thickBot="1" x14ac:dyDescent="0.25">
      <c r="A36" s="86">
        <v>401</v>
      </c>
      <c r="B36" s="70" t="s">
        <v>102</v>
      </c>
      <c r="C36" s="78"/>
      <c r="D36" s="79"/>
      <c r="E36" s="79"/>
      <c r="F36" s="87">
        <f>C36*IF(Units="US CUSTOMARY",100000,62200)*Rough</f>
        <v>0</v>
      </c>
      <c r="G36" s="76"/>
    </row>
    <row r="37" spans="1:7" ht="19.5" thickTop="1" thickBot="1" x14ac:dyDescent="0.25">
      <c r="A37" s="86" t="s">
        <v>92</v>
      </c>
      <c r="B37" s="70"/>
      <c r="C37" s="80"/>
      <c r="D37" s="79"/>
      <c r="E37" s="79"/>
      <c r="F37" s="87">
        <f>C37*IF(Units="US CUSTOMARY",100000,62200)*Rough</f>
        <v>0</v>
      </c>
      <c r="G37" s="76"/>
    </row>
    <row r="38" spans="1:7" ht="19.5" thickTop="1" thickBot="1" x14ac:dyDescent="0.25">
      <c r="A38" s="86" t="s">
        <v>92</v>
      </c>
      <c r="B38" s="86"/>
      <c r="C38" s="80"/>
      <c r="D38" s="79"/>
      <c r="E38" s="79"/>
      <c r="F38" s="87">
        <f>C38*IF(Units="US CUSTOMARY",100000,62200)*Rough</f>
        <v>0</v>
      </c>
      <c r="G38" s="76"/>
    </row>
    <row r="39" spans="1:7" ht="13.5" thickTop="1" x14ac:dyDescent="0.2">
      <c r="A39" s="10"/>
      <c r="B39" s="2"/>
      <c r="C39" s="17"/>
      <c r="D39" s="13"/>
      <c r="E39" s="13"/>
      <c r="F39" s="13"/>
    </row>
    <row r="40" spans="1:7" x14ac:dyDescent="0.2">
      <c r="A40" s="2"/>
      <c r="B40" s="2"/>
      <c r="C40" s="3"/>
      <c r="D40" s="4"/>
      <c r="E40" s="4"/>
      <c r="F40" s="4"/>
    </row>
    <row r="41" spans="1:7" x14ac:dyDescent="0.2">
      <c r="A41" s="211" t="s">
        <v>96</v>
      </c>
      <c r="B41" s="211"/>
      <c r="C41" s="211"/>
      <c r="D41" s="211"/>
      <c r="E41" s="211"/>
      <c r="F41" s="109">
        <f>SUM(F36:F38)</f>
        <v>0</v>
      </c>
    </row>
    <row r="42" spans="1:7" x14ac:dyDescent="0.15">
      <c r="A42" s="2"/>
      <c r="B42" s="2"/>
      <c r="C42" s="3"/>
      <c r="D42" s="4"/>
      <c r="E42" s="18"/>
      <c r="F42" s="19"/>
    </row>
    <row r="43" spans="1:7" ht="22.5" x14ac:dyDescent="0.15">
      <c r="A43" s="91" t="s">
        <v>16</v>
      </c>
      <c r="B43" s="92" t="str">
        <f>"Q_t Unit Price = (Unit Price x "&amp;TEXT(Materials1,"0.00)")&amp;CHAR(10)&amp;"Incentive Amt = (Quantity x Q_t Unit Price)"</f>
        <v>Q_t Unit Price = (Unit Price x 0.05)
Incentive Amt = (Quantity x Q_t Unit Price)</v>
      </c>
      <c r="C43" s="3"/>
      <c r="D43" s="4"/>
      <c r="E43" s="18"/>
      <c r="F43" s="19"/>
    </row>
    <row r="44" spans="1:7" x14ac:dyDescent="0.15">
      <c r="A44" s="22"/>
      <c r="B44" s="22"/>
      <c r="C44" s="3"/>
      <c r="D44" s="4"/>
      <c r="E44" s="18"/>
      <c r="F44" s="19"/>
    </row>
    <row r="45" spans="1:7" ht="22.5" x14ac:dyDescent="0.2">
      <c r="A45" s="91" t="s">
        <v>17</v>
      </c>
      <c r="B45" s="92" t="str">
        <f>"Q_t Unit Price = (Unit Price x "&amp;TEXT(Materials2,"0.00)")&amp;CHAR(10)&amp;"Incentive Amt = (Quantity x Q_t Unit Price)"</f>
        <v>Q_t Unit Price = (Unit Price x 0.06)
Incentive Amt = (Quantity x Q_t Unit Price)</v>
      </c>
      <c r="C45" s="3"/>
      <c r="D45" s="4"/>
      <c r="E45" s="4"/>
      <c r="F45" s="4"/>
    </row>
    <row r="46" spans="1:7" x14ac:dyDescent="0.2">
      <c r="A46" s="2"/>
      <c r="B46" s="2"/>
      <c r="C46" s="3"/>
      <c r="D46" s="4"/>
      <c r="E46" s="4"/>
      <c r="F46" s="4"/>
    </row>
    <row r="47" spans="1:7" ht="22.5" x14ac:dyDescent="0.2">
      <c r="A47" s="91" t="s">
        <v>18</v>
      </c>
      <c r="B47" s="92" t="str">
        <f>"Q_t Unit Price = (Unit Price x "&amp;TEXT(Materials3,"0.00)")&amp;CHAR(10)&amp;"Incentive Amt = (Quantity x Q_t Unit Price)"</f>
        <v>Q_t Unit Price = (Unit Price x 0.01)
Incentive Amt = (Quantity x Q_t Unit Price)</v>
      </c>
      <c r="C47" s="3"/>
      <c r="D47" s="4"/>
      <c r="E47" s="4"/>
      <c r="F47" s="4"/>
    </row>
    <row r="48" spans="1:7" x14ac:dyDescent="0.2">
      <c r="A48" s="22"/>
      <c r="B48" s="22"/>
      <c r="C48" s="3"/>
      <c r="D48" s="4"/>
      <c r="E48" s="4"/>
      <c r="F48" s="4"/>
    </row>
    <row r="49" spans="1:7" ht="12.75" customHeight="1" x14ac:dyDescent="0.2">
      <c r="A49" s="93" t="s">
        <v>19</v>
      </c>
      <c r="B49" s="153" t="str">
        <f>"Incentive Amt = (Lane-"&amp;IF(Units="US CUSTOMARY","miles","kilometers")&amp;" x "&amp;IF(FP="FP-14",IF(Units="US CUSTOMARY","100,000 x 0.05)","62,200 x 0.05)"),IF(FP="FP-24",IF(Units="US CUSTOMARY","100,000 x 0.05)","62,200 x 0.05)")))</f>
        <v>Incentive Amt = (Lane-miles x 100,000 x 0.05)</v>
      </c>
      <c r="C49" s="3"/>
      <c r="D49" s="4"/>
      <c r="E49" s="4"/>
      <c r="F49" s="4"/>
      <c r="G49" s="84">
        <f>VALUE(_xlfn.TEXTAFTER(_xlfn.TEXTBEFORE(B49,")"),"x",2))</f>
        <v>0.05</v>
      </c>
    </row>
    <row r="50" spans="1:7" x14ac:dyDescent="0.2">
      <c r="A50" s="2"/>
      <c r="B50" s="2"/>
      <c r="C50" s="3"/>
      <c r="D50" s="4"/>
      <c r="E50" s="4"/>
      <c r="F50" s="4"/>
    </row>
    <row r="51" spans="1:7" x14ac:dyDescent="0.2">
      <c r="A51" s="2"/>
      <c r="B51" s="2"/>
      <c r="C51" s="3"/>
      <c r="D51" s="4"/>
      <c r="E51" s="4"/>
      <c r="F51" s="4"/>
    </row>
    <row r="52" spans="1:7" ht="18" customHeight="1" thickBot="1" x14ac:dyDescent="0.3">
      <c r="A52" s="200" t="s">
        <v>78</v>
      </c>
      <c r="B52" s="200"/>
      <c r="C52" s="200"/>
      <c r="D52" s="200"/>
      <c r="E52" s="200"/>
      <c r="F52" s="200"/>
    </row>
    <row r="53" spans="1:7" ht="14.25" thickTop="1" thickBot="1" x14ac:dyDescent="0.25">
      <c r="A53" s="70"/>
      <c r="B53" s="96" t="s">
        <v>94</v>
      </c>
      <c r="C53" s="98" t="str">
        <f>FP</f>
        <v>FP-14</v>
      </c>
      <c r="D53" s="73"/>
      <c r="E53" s="73"/>
      <c r="F53" s="73"/>
    </row>
    <row r="54" spans="1:7" ht="19.5" thickTop="1" thickBot="1" x14ac:dyDescent="0.25">
      <c r="A54" s="70"/>
      <c r="B54" s="70"/>
      <c r="C54" s="74"/>
      <c r="D54" s="73"/>
      <c r="E54" s="64" t="s">
        <v>1</v>
      </c>
      <c r="F54" s="65">
        <f ca="1">Date</f>
        <v>45469</v>
      </c>
      <c r="G54" s="76"/>
    </row>
    <row r="55" spans="1:7" ht="19.5" thickTop="1" thickBot="1" x14ac:dyDescent="0.25">
      <c r="A55" s="61" t="s">
        <v>0</v>
      </c>
      <c r="B55" s="103" t="str">
        <f>ProjNum</f>
        <v>WA WFL Test(1)</v>
      </c>
      <c r="C55" s="99"/>
      <c r="D55" s="100"/>
      <c r="E55" s="66" t="s">
        <v>3</v>
      </c>
      <c r="F55" s="98" t="str">
        <f>SchedType</f>
        <v>Base</v>
      </c>
      <c r="G55" s="76"/>
    </row>
    <row r="56" spans="1:7" ht="19.5" thickTop="1" thickBot="1" x14ac:dyDescent="0.25">
      <c r="A56" s="61" t="s">
        <v>2</v>
      </c>
      <c r="B56" s="201" t="str">
        <f>ProjName</f>
        <v>Wafflehead Park Road</v>
      </c>
      <c r="C56" s="201"/>
      <c r="D56" s="201"/>
      <c r="E56" s="66" t="s">
        <v>5</v>
      </c>
      <c r="F56" s="98" t="str">
        <f>SchedLet</f>
        <v>A</v>
      </c>
      <c r="G56" s="76"/>
    </row>
    <row r="57" spans="1:7" ht="19.5" thickTop="1" thickBot="1" x14ac:dyDescent="0.25">
      <c r="A57" s="61"/>
      <c r="B57" s="75"/>
      <c r="C57" s="75"/>
      <c r="D57" s="75"/>
      <c r="E57" s="64" t="s">
        <v>7</v>
      </c>
      <c r="F57" s="98" t="str">
        <f>Units</f>
        <v>US CUSTOMARY</v>
      </c>
      <c r="G57" s="76"/>
    </row>
    <row r="58" spans="1:7" ht="14.25" thickTop="1" thickBot="1" x14ac:dyDescent="0.25">
      <c r="A58" s="2"/>
      <c r="B58" s="2"/>
      <c r="C58" s="3"/>
      <c r="D58" s="4"/>
      <c r="E58" s="6"/>
      <c r="F58" s="5"/>
    </row>
    <row r="59" spans="1:7" ht="18.75" thickBot="1" x14ac:dyDescent="0.25">
      <c r="A59" s="41" t="s">
        <v>20</v>
      </c>
      <c r="B59" s="42"/>
      <c r="C59" s="42"/>
      <c r="D59" s="42"/>
      <c r="E59" s="42"/>
      <c r="F59" s="43"/>
      <c r="G59" s="76"/>
    </row>
    <row r="60" spans="1:7" x14ac:dyDescent="0.2">
      <c r="A60" s="7"/>
      <c r="B60" s="23"/>
      <c r="C60" s="24"/>
      <c r="D60" s="24"/>
      <c r="E60" s="24"/>
      <c r="F60" s="24"/>
    </row>
    <row r="61" spans="1:7" ht="12.75" customHeight="1" x14ac:dyDescent="0.2">
      <c r="A61" s="135" t="s">
        <v>110</v>
      </c>
      <c r="B61" s="136" t="s">
        <v>111</v>
      </c>
      <c r="C61" s="137" t="s">
        <v>21</v>
      </c>
      <c r="D61" s="138" t="str">
        <f>IF(Units="US CUSTOMARY"," CUYD"," m3")</f>
        <v xml:space="preserve"> CUYD</v>
      </c>
      <c r="E61" s="139" t="s">
        <v>22</v>
      </c>
      <c r="F61" s="24"/>
    </row>
    <row r="62" spans="1:7" ht="12.75" customHeight="1" x14ac:dyDescent="0.2">
      <c r="A62" s="130">
        <v>20401</v>
      </c>
      <c r="B62" s="131" t="s">
        <v>23</v>
      </c>
      <c r="C62" s="209">
        <f>IF(Units="US Customary", 0.3, 0.39)</f>
        <v>0.3</v>
      </c>
      <c r="D62" s="196"/>
      <c r="E62" s="129" t="str">
        <f>IF(ISNUMBER(D62),+C$62*D62, "-")</f>
        <v>-</v>
      </c>
      <c r="F62" s="13"/>
    </row>
    <row r="63" spans="1:7" ht="12.75" customHeight="1" x14ac:dyDescent="0.2">
      <c r="A63" s="130">
        <v>20402</v>
      </c>
      <c r="B63" s="131" t="s">
        <v>24</v>
      </c>
      <c r="C63" s="209"/>
      <c r="D63" s="196"/>
      <c r="E63" s="129" t="str">
        <f>IF(ISNUMBER(D63),+C$62*D63, "-")</f>
        <v>-</v>
      </c>
      <c r="F63" s="13"/>
    </row>
    <row r="64" spans="1:7" ht="12.75" customHeight="1" x14ac:dyDescent="0.2">
      <c r="A64" s="130">
        <v>20403</v>
      </c>
      <c r="B64" s="131" t="s">
        <v>25</v>
      </c>
      <c r="C64" s="209"/>
      <c r="D64" s="196"/>
      <c r="E64" s="129" t="str">
        <f>IF(ISNUMBER(D64),+C$62*D64, "-")</f>
        <v>-</v>
      </c>
      <c r="F64" s="13"/>
    </row>
    <row r="65" spans="1:6" ht="12.75" customHeight="1" x14ac:dyDescent="0.2">
      <c r="A65" s="130">
        <v>20420</v>
      </c>
      <c r="B65" s="131" t="s">
        <v>26</v>
      </c>
      <c r="C65" s="209"/>
      <c r="D65" s="196"/>
      <c r="E65" s="129" t="str">
        <f>IF(ISNUMBER(D65),+C$62*D65, "-")</f>
        <v>-</v>
      </c>
      <c r="F65" s="13"/>
    </row>
    <row r="66" spans="1:6" ht="12.75" customHeight="1" x14ac:dyDescent="0.2">
      <c r="A66" s="130">
        <v>20421</v>
      </c>
      <c r="B66" s="131" t="s">
        <v>27</v>
      </c>
      <c r="C66" s="209"/>
      <c r="D66" s="196"/>
      <c r="E66" s="129" t="str">
        <f>IF(ISNUMBER(D66),+C$62*D66, "-")</f>
        <v>-</v>
      </c>
      <c r="F66" s="13"/>
    </row>
    <row r="67" spans="1:6" ht="12.75" customHeight="1" x14ac:dyDescent="0.2">
      <c r="A67" s="135" t="s">
        <v>110</v>
      </c>
      <c r="B67" s="136" t="s">
        <v>111</v>
      </c>
      <c r="C67" s="137" t="s">
        <v>21</v>
      </c>
      <c r="D67" s="138" t="str">
        <f>IF(Units="US CUSTOMARY"," Tons"," tonnes")</f>
        <v xml:space="preserve"> Tons</v>
      </c>
      <c r="E67" s="139" t="s">
        <v>22</v>
      </c>
      <c r="F67" s="24"/>
    </row>
    <row r="68" spans="1:6" ht="12.75" customHeight="1" x14ac:dyDescent="0.2">
      <c r="A68" s="130">
        <v>20410</v>
      </c>
      <c r="B68" s="131" t="s">
        <v>104</v>
      </c>
      <c r="C68" s="209">
        <f>IF(Units="US Customary", 0.7, 0.77)</f>
        <v>0.7</v>
      </c>
      <c r="D68" s="196"/>
      <c r="E68" s="129" t="str">
        <f>IF(ISNUMBER(D68),+C$68*D68, "-")</f>
        <v>-</v>
      </c>
      <c r="F68" s="13"/>
    </row>
    <row r="69" spans="1:6" ht="12.75" customHeight="1" x14ac:dyDescent="0.2">
      <c r="A69" s="130">
        <v>20411</v>
      </c>
      <c r="B69" s="131" t="s">
        <v>105</v>
      </c>
      <c r="C69" s="209"/>
      <c r="D69" s="196"/>
      <c r="E69" s="129" t="str">
        <f>IF(ISNUMBER(D69),+C$68*D69, "-")</f>
        <v>-</v>
      </c>
      <c r="F69" s="13"/>
    </row>
    <row r="70" spans="1:6" ht="12.75" customHeight="1" x14ac:dyDescent="0.2">
      <c r="A70" s="130" t="str">
        <f>IF(FP="FP-24","-"," 20415")</f>
        <v xml:space="preserve"> 20415</v>
      </c>
      <c r="B70" s="131" t="str">
        <f>IF(FP="FP-24","-","Select topping*")</f>
        <v>Select topping*</v>
      </c>
      <c r="C70" s="209"/>
      <c r="D70" s="196"/>
      <c r="E70" s="129" t="str">
        <f>IF(ISNUMBER(D70),+C$68*D70, "-")</f>
        <v>-</v>
      </c>
      <c r="F70" s="13"/>
    </row>
    <row r="71" spans="1:6" ht="12.75" customHeight="1" x14ac:dyDescent="0.2">
      <c r="A71" s="130" t="str">
        <f>IF(FP="FP-24","-"," 20416")</f>
        <v xml:space="preserve"> 20416</v>
      </c>
      <c r="B71" s="131" t="str">
        <f>IF(FP="FP-24","-","Select topping")</f>
        <v>Select topping</v>
      </c>
      <c r="C71" s="209"/>
      <c r="D71" s="196"/>
      <c r="E71" s="129" t="str">
        <f>IF(ISNUMBER(D71),+C$68*D71, "-")</f>
        <v>-</v>
      </c>
      <c r="F71" s="13"/>
    </row>
    <row r="72" spans="1:6" ht="12.75" customHeight="1" x14ac:dyDescent="0.2">
      <c r="A72" s="135" t="s">
        <v>112</v>
      </c>
      <c r="B72" s="136" t="s">
        <v>97</v>
      </c>
      <c r="C72" s="137" t="s">
        <v>21</v>
      </c>
      <c r="D72" s="138" t="str">
        <f>IF(Units="US CUSTOMARY"," Tons"," tonnes")</f>
        <v xml:space="preserve"> Tons</v>
      </c>
      <c r="E72" s="139" t="s">
        <v>22</v>
      </c>
      <c r="F72" s="13"/>
    </row>
    <row r="73" spans="1:6" ht="12.75" customHeight="1" x14ac:dyDescent="0.2">
      <c r="A73" s="130">
        <v>30101</v>
      </c>
      <c r="B73" s="131" t="s">
        <v>81</v>
      </c>
      <c r="C73" s="209">
        <f>IF(Units="US Customary", 0.7, 0.77)</f>
        <v>0.7</v>
      </c>
      <c r="D73" s="196"/>
      <c r="E73" s="129" t="str">
        <f t="shared" ref="E73:E80" si="3">IF(ISNUMBER(D73),+C$73*D73, "-")</f>
        <v>-</v>
      </c>
      <c r="F73" s="13"/>
    </row>
    <row r="74" spans="1:6" ht="12.75" customHeight="1" x14ac:dyDescent="0.2">
      <c r="A74" s="130">
        <v>30102</v>
      </c>
      <c r="B74" s="131" t="s">
        <v>82</v>
      </c>
      <c r="C74" s="209"/>
      <c r="D74" s="196"/>
      <c r="E74" s="129" t="str">
        <f t="shared" si="3"/>
        <v>-</v>
      </c>
      <c r="F74" s="13"/>
    </row>
    <row r="75" spans="1:6" ht="12.75" customHeight="1" x14ac:dyDescent="0.2">
      <c r="A75" s="130">
        <v>30103</v>
      </c>
      <c r="B75" s="131" t="s">
        <v>82</v>
      </c>
      <c r="C75" s="209"/>
      <c r="D75" s="196"/>
      <c r="E75" s="129" t="str">
        <f t="shared" si="3"/>
        <v>-</v>
      </c>
      <c r="F75" s="13"/>
    </row>
    <row r="76" spans="1:6" ht="12.75" customHeight="1" x14ac:dyDescent="0.2">
      <c r="A76" s="130">
        <v>30105</v>
      </c>
      <c r="B76" s="131" t="s">
        <v>28</v>
      </c>
      <c r="C76" s="209"/>
      <c r="D76" s="196"/>
      <c r="E76" s="129" t="str">
        <f t="shared" si="3"/>
        <v>-</v>
      </c>
      <c r="F76" s="13"/>
    </row>
    <row r="77" spans="1:6" ht="12.75" customHeight="1" x14ac:dyDescent="0.2">
      <c r="A77" s="130">
        <v>30106</v>
      </c>
      <c r="B77" s="131" t="s">
        <v>29</v>
      </c>
      <c r="C77" s="209"/>
      <c r="D77" s="196"/>
      <c r="E77" s="129" t="str">
        <f t="shared" si="3"/>
        <v>-</v>
      </c>
      <c r="F77" s="13"/>
    </row>
    <row r="78" spans="1:6" ht="12.75" customHeight="1" x14ac:dyDescent="0.2">
      <c r="A78" s="130">
        <v>30107</v>
      </c>
      <c r="B78" s="131" t="s">
        <v>29</v>
      </c>
      <c r="C78" s="209"/>
      <c r="D78" s="196"/>
      <c r="E78" s="129" t="str">
        <f t="shared" si="3"/>
        <v>-</v>
      </c>
      <c r="F78" s="13"/>
    </row>
    <row r="79" spans="1:6" ht="12.75" customHeight="1" x14ac:dyDescent="0.2">
      <c r="A79" s="130">
        <v>30110</v>
      </c>
      <c r="B79" s="131" t="s">
        <v>30</v>
      </c>
      <c r="C79" s="209"/>
      <c r="D79" s="196"/>
      <c r="E79" s="129" t="str">
        <f t="shared" si="3"/>
        <v>-</v>
      </c>
      <c r="F79" s="13"/>
    </row>
    <row r="80" spans="1:6" ht="12.75" customHeight="1" x14ac:dyDescent="0.2">
      <c r="A80" s="130">
        <v>30111</v>
      </c>
      <c r="B80" s="131" t="s">
        <v>31</v>
      </c>
      <c r="C80" s="209"/>
      <c r="D80" s="196"/>
      <c r="E80" s="129" t="str">
        <f t="shared" si="3"/>
        <v>-</v>
      </c>
      <c r="F80" s="13"/>
    </row>
    <row r="81" spans="1:6" ht="12.75" customHeight="1" x14ac:dyDescent="0.2">
      <c r="A81" s="125" t="s">
        <v>113</v>
      </c>
      <c r="B81" s="140" t="s">
        <v>114</v>
      </c>
      <c r="C81" s="107" t="s">
        <v>21</v>
      </c>
      <c r="D81" s="141" t="str">
        <f>IF(Units="US CUSTOMARY"," Tons"," tonnes")</f>
        <v xml:space="preserve"> Tons</v>
      </c>
      <c r="E81" s="142" t="s">
        <v>22</v>
      </c>
      <c r="F81" s="13"/>
    </row>
    <row r="82" spans="1:6" ht="12.75" customHeight="1" x14ac:dyDescent="0.2">
      <c r="A82" s="132">
        <v>30201</v>
      </c>
      <c r="B82" s="104" t="s">
        <v>83</v>
      </c>
      <c r="C82" s="202">
        <f>IF(Units="US Customary", 0.7, 0.77)</f>
        <v>0.7</v>
      </c>
      <c r="D82" s="32"/>
      <c r="E82" s="108" t="str">
        <f>IF(ISNUMBER(D82),+C$82*D82, "-")</f>
        <v>-</v>
      </c>
      <c r="F82" s="13"/>
    </row>
    <row r="83" spans="1:6" ht="12.75" customHeight="1" x14ac:dyDescent="0.2">
      <c r="A83" s="132">
        <v>30202</v>
      </c>
      <c r="B83" s="104" t="s">
        <v>84</v>
      </c>
      <c r="C83" s="202"/>
      <c r="D83" s="32"/>
      <c r="E83" s="108" t="str">
        <f>IF(ISNUMBER(D83),+C$82*D83, "-")</f>
        <v>-</v>
      </c>
      <c r="F83" s="13"/>
    </row>
    <row r="84" spans="1:6" ht="12.75" customHeight="1" x14ac:dyDescent="0.2">
      <c r="A84" s="134" t="s">
        <v>115</v>
      </c>
      <c r="B84" s="140" t="str">
        <f>IF(FP="FP-24","Emulsified Asphalt Treated Base Course","Recycled Aggregate Base")</f>
        <v>Recycled Aggregate Base</v>
      </c>
      <c r="C84" s="107" t="s">
        <v>21</v>
      </c>
      <c r="D84" s="143" t="str">
        <f>IF(Units="US CUSTOMARY"," SQYD","m2")</f>
        <v xml:space="preserve"> SQYD</v>
      </c>
      <c r="E84" s="144" t="s">
        <v>22</v>
      </c>
      <c r="F84" s="13"/>
    </row>
    <row r="85" spans="1:6" ht="12.75" customHeight="1" x14ac:dyDescent="0.2">
      <c r="A85" s="133" t="str">
        <f>IF(FP="FP-24","30801","30801")</f>
        <v>30801</v>
      </c>
      <c r="B85" s="104" t="str">
        <f>IF(FP="FP-24","Emulsified asphalt-treated aggregate base","Recycled aggregate base")</f>
        <v>Recycled aggregate base</v>
      </c>
      <c r="C85" s="204">
        <f>IF(Units="US Customary", 0.1, 0.15)</f>
        <v>0.1</v>
      </c>
      <c r="D85" s="34"/>
      <c r="E85" s="108" t="str">
        <f>IF(ISNUMBER(D85),+C$85*D85, "-")</f>
        <v>-</v>
      </c>
      <c r="F85" s="13"/>
    </row>
    <row r="86" spans="1:6" ht="12.75" customHeight="1" x14ac:dyDescent="0.2">
      <c r="A86" s="133" t="str">
        <f>IF(FP="FP-24","30802","30802")</f>
        <v>30802</v>
      </c>
      <c r="B86" s="104" t="str">
        <f>IF(FP="FP-24","Emulsified asphalt-treated aggregate base*","Recycled aggregate base*")</f>
        <v>Recycled aggregate base*</v>
      </c>
      <c r="C86" s="202"/>
      <c r="D86" s="34"/>
      <c r="E86" s="108" t="str">
        <f>IF(ISNUMBER(D86),+C$85*D86, "-")</f>
        <v>-</v>
      </c>
      <c r="F86" s="13"/>
    </row>
    <row r="87" spans="1:6" ht="12.75" customHeight="1" x14ac:dyDescent="0.2">
      <c r="A87" s="133" t="str">
        <f>IF(FP="FP-24","30803","30803")</f>
        <v>30803</v>
      </c>
      <c r="B87" s="104" t="str">
        <f>IF(FP="FP-24","Emulsified asphalt-treated aggregate base*","Recycled aggregate base*")</f>
        <v>Recycled aggregate base*</v>
      </c>
      <c r="C87" s="202"/>
      <c r="D87" s="34"/>
      <c r="E87" s="108" t="str">
        <f>IF(ISNUMBER(D87),+C$85*D87, "-")</f>
        <v>-</v>
      </c>
      <c r="F87" s="13"/>
    </row>
    <row r="88" spans="1:6" ht="12.75" customHeight="1" x14ac:dyDescent="0.2">
      <c r="A88" s="134" t="s">
        <v>116</v>
      </c>
      <c r="B88" s="140" t="str">
        <f>IF(FP="FP-24","Cold Recycled Asphalt Base Course","Emulsified Asphalt Treated Base Course")</f>
        <v>Emulsified Asphalt Treated Base Course</v>
      </c>
      <c r="C88" s="107" t="s">
        <v>21</v>
      </c>
      <c r="D88" s="143" t="str">
        <f>IF(Units="US CUSTOMARY"," Tons","tonnes")</f>
        <v xml:space="preserve"> Tons</v>
      </c>
      <c r="E88" s="144" t="s">
        <v>22</v>
      </c>
      <c r="F88" s="13"/>
    </row>
    <row r="89" spans="1:6" ht="12.75" customHeight="1" x14ac:dyDescent="0.2">
      <c r="A89" s="133">
        <v>30901</v>
      </c>
      <c r="B89" s="104" t="str">
        <f>IF(FP="FP-24","Cold recycled asphalt base course","Emulsified asphalt treated aggregate base")</f>
        <v>Emulsified asphalt treated aggregate base</v>
      </c>
      <c r="C89" s="204">
        <f>IF(Units="US Customary", 0.7, 0.77)</f>
        <v>0.7</v>
      </c>
      <c r="D89" s="34"/>
      <c r="E89" s="108" t="str">
        <f>IF(ISNUMBER(D89),+C$89*D89, "-")</f>
        <v>-</v>
      </c>
      <c r="F89" s="13"/>
    </row>
    <row r="90" spans="1:6" ht="12.75" customHeight="1" x14ac:dyDescent="0.2">
      <c r="A90" s="133">
        <v>30902</v>
      </c>
      <c r="B90" s="104" t="str">
        <f>IF(FP="FP-24","Cold recycled asphalt base course*","Emulsified asphalt treated aggregate base*")</f>
        <v>Emulsified asphalt treated aggregate base*</v>
      </c>
      <c r="C90" s="202"/>
      <c r="D90" s="34"/>
      <c r="E90" s="108" t="str">
        <f>IF(ISNUMBER(D90),+C$89*D90, "-")</f>
        <v>-</v>
      </c>
      <c r="F90" s="13"/>
    </row>
    <row r="91" spans="1:6" ht="12.75" customHeight="1" x14ac:dyDescent="0.2">
      <c r="A91" s="133">
        <v>30903</v>
      </c>
      <c r="B91" s="104" t="str">
        <f>IF(FP="FP-24","Cold recycled asphalt base course*","Emulsified asphalt treated aggregate base*")</f>
        <v>Emulsified asphalt treated aggregate base*</v>
      </c>
      <c r="C91" s="202"/>
      <c r="D91" s="34"/>
      <c r="E91" s="108" t="str">
        <f>IF(ISNUMBER(D91),+C$89*D91, "-")</f>
        <v>-</v>
      </c>
      <c r="F91" s="13"/>
    </row>
    <row r="92" spans="1:6" ht="12.75" customHeight="1" x14ac:dyDescent="0.2">
      <c r="A92" s="134" t="s">
        <v>117</v>
      </c>
      <c r="B92" s="140" t="s">
        <v>119</v>
      </c>
      <c r="C92" s="107" t="s">
        <v>21</v>
      </c>
      <c r="D92" s="143" t="str">
        <f>IF(Units="US CUSTOMARY"," SQYD","m2")</f>
        <v xml:space="preserve"> SQYD</v>
      </c>
      <c r="E92" s="144" t="s">
        <v>22</v>
      </c>
      <c r="F92" s="13"/>
    </row>
    <row r="93" spans="1:6" ht="12.75" customHeight="1" x14ac:dyDescent="0.2">
      <c r="A93" s="133">
        <v>31001</v>
      </c>
      <c r="B93" s="104" t="s">
        <v>32</v>
      </c>
      <c r="C93" s="202">
        <f>IF(Units="US Customary", 0.15, 0.18)</f>
        <v>0.15</v>
      </c>
      <c r="D93" s="34"/>
      <c r="E93" s="108" t="str">
        <f>IF(ISNUMBER(D93),+C$93*D93, "-")</f>
        <v>-</v>
      </c>
      <c r="F93" s="13"/>
    </row>
    <row r="94" spans="1:6" ht="12.75" customHeight="1" x14ac:dyDescent="0.2">
      <c r="A94" s="133">
        <v>31002</v>
      </c>
      <c r="B94" s="55" t="s">
        <v>33</v>
      </c>
      <c r="C94" s="202"/>
      <c r="D94" s="34"/>
      <c r="E94" s="108" t="str">
        <f>IF(ISNUMBER(D94),+C$93*D94, "-")</f>
        <v>-</v>
      </c>
      <c r="F94" s="13"/>
    </row>
    <row r="95" spans="1:6" ht="12.75" customHeight="1" x14ac:dyDescent="0.2">
      <c r="A95" s="134" t="s">
        <v>118</v>
      </c>
      <c r="B95" s="140" t="s">
        <v>120</v>
      </c>
      <c r="C95" s="107" t="s">
        <v>21</v>
      </c>
      <c r="D95" s="143" t="str">
        <f>IF(Units="US CUSTOMARY"," Tons"," tonnes")</f>
        <v xml:space="preserve"> Tons</v>
      </c>
      <c r="E95" s="144" t="s">
        <v>22</v>
      </c>
      <c r="F95" s="13"/>
    </row>
    <row r="96" spans="1:6" ht="21" customHeight="1" x14ac:dyDescent="0.2">
      <c r="A96" s="133" t="s">
        <v>34</v>
      </c>
      <c r="B96" s="55" t="str">
        <f>IF(FP="FP-24","Stabilized aggregate surface course*","Stabilized aggregate surface course*,imported aggregate*")</f>
        <v>Stabilized aggregate surface course*,imported aggregate*</v>
      </c>
      <c r="C96" s="197">
        <f>IF(Units="US Customary", 0.7, 0.77)</f>
        <v>0.7</v>
      </c>
      <c r="D96" s="34"/>
      <c r="E96" s="108" t="str">
        <f>IF(ISNUMBER(D96),+C$96*D96, "-")</f>
        <v>-</v>
      </c>
      <c r="F96" s="13"/>
    </row>
    <row r="97" spans="1:6" ht="24.75" customHeight="1" x14ac:dyDescent="0.2">
      <c r="A97" s="133">
        <v>31101</v>
      </c>
      <c r="B97" s="55" t="str">
        <f>IF(FP="FP-24","Stabilized aggregate surface course, in-place aggregate*","Stabilized aggregate surface course*,in-place aggregate*")</f>
        <v>Stabilized aggregate surface course*,in-place aggregate*</v>
      </c>
      <c r="C97" s="197"/>
      <c r="D97" s="34"/>
      <c r="E97" s="108" t="str">
        <f>IF(ISNUMBER(D97),+C$96*D97, "-")</f>
        <v>-</v>
      </c>
      <c r="F97" s="13"/>
    </row>
    <row r="98" spans="1:6" ht="25.5" customHeight="1" x14ac:dyDescent="0.2">
      <c r="A98" s="133" t="s">
        <v>35</v>
      </c>
      <c r="B98" s="55" t="str">
        <f>IF(FP="FP-24","Stabilized aggregate surface course*","Stabilized aggregate surface course*,imported aggregate*")</f>
        <v>Stabilized aggregate surface course*,imported aggregate*</v>
      </c>
      <c r="C98" s="197"/>
      <c r="D98" s="34"/>
      <c r="E98" s="108" t="str">
        <f>IF(ISNUMBER(D98),+C$96*D98, "-")</f>
        <v>-</v>
      </c>
      <c r="F98" s="13"/>
    </row>
    <row r="99" spans="1:6" ht="25.5" customHeight="1" x14ac:dyDescent="0.2">
      <c r="A99" s="133">
        <v>31102</v>
      </c>
      <c r="B99" s="55" t="str">
        <f>IF(FP="FP-24","Stabilized aggregate surface course, in-place aggregate*","Stabilized aggregate surface course*,in-place aggregate*")</f>
        <v>Stabilized aggregate surface course*,in-place aggregate*</v>
      </c>
      <c r="C99" s="197"/>
      <c r="D99" s="34"/>
      <c r="E99" s="108" t="str">
        <f>IF(ISNUMBER(D99),+C$96*D99, "-")</f>
        <v>-</v>
      </c>
      <c r="F99" s="13"/>
    </row>
    <row r="100" spans="1:6" ht="23.25" customHeight="1" x14ac:dyDescent="0.2">
      <c r="A100" s="133" t="s">
        <v>36</v>
      </c>
      <c r="B100" s="55" t="str">
        <f>IF(FP="FP-24","Stabilized aggregate surface course, imported aggregate*","Stabilized aggregate surface course*")</f>
        <v>Stabilized aggregate surface course*</v>
      </c>
      <c r="C100" s="203"/>
      <c r="D100" s="34"/>
      <c r="E100" s="108" t="str">
        <f>IF(ISNUMBER(D100),+C$96*D100, "-")</f>
        <v>-</v>
      </c>
      <c r="F100" s="13"/>
    </row>
    <row r="101" spans="1:6" ht="12.75" customHeight="1" x14ac:dyDescent="0.2">
      <c r="A101" s="134" t="s">
        <v>121</v>
      </c>
      <c r="B101" s="140" t="s">
        <v>122</v>
      </c>
      <c r="C101" s="126" t="s">
        <v>21</v>
      </c>
      <c r="D101" s="128" t="str">
        <f>IF(Units="US CUSTOMARY"," Tons"," tonnes")</f>
        <v xml:space="preserve"> Tons</v>
      </c>
      <c r="E101" s="127" t="s">
        <v>22</v>
      </c>
      <c r="F101" s="13"/>
    </row>
    <row r="102" spans="1:6" ht="12.75" customHeight="1" x14ac:dyDescent="0.2">
      <c r="A102" s="133" t="s">
        <v>37</v>
      </c>
      <c r="B102" s="104" t="s">
        <v>38</v>
      </c>
      <c r="C102" s="197">
        <f>IF(Units="US Customary",2.4, 2.65)</f>
        <v>2.4</v>
      </c>
      <c r="D102" s="34"/>
      <c r="E102" s="105" t="str">
        <f>IF(ISNUMBER(D102),+C$102*D102, "-")</f>
        <v>-</v>
      </c>
      <c r="F102" s="13"/>
    </row>
    <row r="103" spans="1:6" ht="22.5" x14ac:dyDescent="0.2">
      <c r="A103" s="133" t="s">
        <v>39</v>
      </c>
      <c r="B103" s="55" t="s">
        <v>40</v>
      </c>
      <c r="C103" s="197"/>
      <c r="D103" s="34"/>
      <c r="E103" s="105" t="str">
        <f>IF(ISNUMBER(D103),+C$102*D103, "-")</f>
        <v>-</v>
      </c>
      <c r="F103" s="13"/>
    </row>
    <row r="104" spans="1:6" ht="24" x14ac:dyDescent="0.2">
      <c r="A104" s="145" t="s">
        <v>123</v>
      </c>
      <c r="B104" s="147" t="s">
        <v>124</v>
      </c>
      <c r="C104" s="33" t="s">
        <v>21</v>
      </c>
      <c r="D104" s="143" t="str">
        <f>IF(Units="US CUSTOMARY"," Tons"," tonnes")</f>
        <v xml:space="preserve"> Tons</v>
      </c>
      <c r="E104" s="146" t="s">
        <v>22</v>
      </c>
      <c r="F104" s="13"/>
    </row>
    <row r="105" spans="1:6" ht="12.75" customHeight="1" x14ac:dyDescent="0.2">
      <c r="A105" s="133" t="s">
        <v>41</v>
      </c>
      <c r="B105" s="104" t="s">
        <v>42</v>
      </c>
      <c r="C105" s="197">
        <f>IF(Units="US Customary",2.4, 2.65)</f>
        <v>2.4</v>
      </c>
      <c r="D105" s="34"/>
      <c r="E105" s="105" t="str">
        <f>IF(ISNUMBER(D105),+C$105*D105, "-")</f>
        <v>-</v>
      </c>
      <c r="F105" s="13"/>
    </row>
    <row r="106" spans="1:6" ht="24.75" customHeight="1" x14ac:dyDescent="0.2">
      <c r="A106" s="133" t="s">
        <v>43</v>
      </c>
      <c r="B106" s="55" t="s">
        <v>88</v>
      </c>
      <c r="C106" s="197"/>
      <c r="D106" s="34"/>
      <c r="E106" s="105" t="str">
        <f>IF(ISNUMBER(D106),+C$105*D106, "-")</f>
        <v>-</v>
      </c>
      <c r="F106" s="13"/>
    </row>
    <row r="107" spans="1:6" ht="15" customHeight="1" x14ac:dyDescent="0.2">
      <c r="A107" s="145" t="s">
        <v>125</v>
      </c>
      <c r="B107" s="147" t="s">
        <v>126</v>
      </c>
      <c r="C107" s="33" t="s">
        <v>21</v>
      </c>
      <c r="D107" s="143" t="str">
        <f>IF(Units="US CUSTOMARY"," Tons"," tonnes")</f>
        <v xml:space="preserve"> Tons</v>
      </c>
      <c r="E107" s="146" t="s">
        <v>22</v>
      </c>
      <c r="F107" s="13"/>
    </row>
    <row r="108" spans="1:6" ht="12.75" customHeight="1" x14ac:dyDescent="0.2">
      <c r="A108" s="133">
        <v>40301</v>
      </c>
      <c r="B108" s="104" t="s">
        <v>85</v>
      </c>
      <c r="C108" s="197">
        <f>IF(Units="US Customary",2.4, 2.65)</f>
        <v>2.4</v>
      </c>
      <c r="D108" s="34"/>
      <c r="E108" s="105" t="str">
        <f>IF(ISNUMBER(D108),+C$108*D108, "-")</f>
        <v>-</v>
      </c>
      <c r="F108" s="13"/>
    </row>
    <row r="109" spans="1:6" ht="12.75" customHeight="1" x14ac:dyDescent="0.2">
      <c r="A109" s="133">
        <v>40302</v>
      </c>
      <c r="B109" s="104" t="s">
        <v>86</v>
      </c>
      <c r="C109" s="197"/>
      <c r="D109" s="34"/>
      <c r="E109" s="105" t="str">
        <f>IF(ISNUMBER(D109),+C$108*D109, "-")</f>
        <v>-</v>
      </c>
      <c r="F109" s="13"/>
    </row>
    <row r="110" spans="1:6" ht="21.75" customHeight="1" x14ac:dyDescent="0.2">
      <c r="A110" s="133">
        <v>40303</v>
      </c>
      <c r="B110" s="55" t="s">
        <v>87</v>
      </c>
      <c r="C110" s="197"/>
      <c r="D110" s="34"/>
      <c r="E110" s="105" t="str">
        <f>IF(ISNUMBER(D110),+C$108*D110, "-")</f>
        <v>-</v>
      </c>
      <c r="F110" s="13"/>
    </row>
    <row r="111" spans="1:6" ht="12.75" customHeight="1" x14ac:dyDescent="0.2">
      <c r="A111" s="101"/>
      <c r="B111" s="35"/>
      <c r="C111" s="49"/>
      <c r="D111" s="46"/>
      <c r="E111" s="24"/>
      <c r="F111" s="24"/>
    </row>
    <row r="112" spans="1:6" ht="18.75" thickBot="1" x14ac:dyDescent="0.3">
      <c r="A112" s="200" t="s">
        <v>78</v>
      </c>
      <c r="B112" s="200"/>
      <c r="C112" s="200"/>
      <c r="D112" s="200"/>
      <c r="E112" s="200"/>
      <c r="F112" s="200"/>
    </row>
    <row r="113" spans="1:6" ht="14.25" thickTop="1" thickBot="1" x14ac:dyDescent="0.25">
      <c r="A113" s="70"/>
      <c r="B113" s="96" t="s">
        <v>94</v>
      </c>
      <c r="C113" s="98" t="str">
        <f>FP</f>
        <v>FP-14</v>
      </c>
      <c r="D113" s="73"/>
      <c r="E113" s="73"/>
      <c r="F113" s="73"/>
    </row>
    <row r="114" spans="1:6" ht="14.25" thickTop="1" thickBot="1" x14ac:dyDescent="0.25">
      <c r="A114" s="70"/>
      <c r="B114" s="70"/>
      <c r="C114" s="74"/>
      <c r="D114" s="73"/>
      <c r="E114" s="64" t="s">
        <v>1</v>
      </c>
      <c r="F114" s="65">
        <f ca="1">Date</f>
        <v>45469</v>
      </c>
    </row>
    <row r="115" spans="1:6" ht="14.25" thickTop="1" thickBot="1" x14ac:dyDescent="0.25">
      <c r="A115" s="61" t="s">
        <v>0</v>
      </c>
      <c r="B115" s="103" t="str">
        <f>ProjNum</f>
        <v>WA WFL Test(1)</v>
      </c>
      <c r="C115" s="99"/>
      <c r="D115" s="100"/>
      <c r="E115" s="66" t="s">
        <v>3</v>
      </c>
      <c r="F115" s="98" t="str">
        <f>SchedType</f>
        <v>Base</v>
      </c>
    </row>
    <row r="116" spans="1:6" ht="14.25" thickTop="1" thickBot="1" x14ac:dyDescent="0.25">
      <c r="A116" s="61" t="s">
        <v>2</v>
      </c>
      <c r="B116" s="201" t="str">
        <f>ProjName</f>
        <v>Wafflehead Park Road</v>
      </c>
      <c r="C116" s="201"/>
      <c r="D116" s="201"/>
      <c r="E116" s="66" t="s">
        <v>5</v>
      </c>
      <c r="F116" s="98" t="str">
        <f>SchedLet</f>
        <v>A</v>
      </c>
    </row>
    <row r="117" spans="1:6" ht="14.25" thickTop="1" thickBot="1" x14ac:dyDescent="0.25">
      <c r="A117" s="61"/>
      <c r="B117" s="75"/>
      <c r="C117" s="75"/>
      <c r="D117" s="75"/>
      <c r="E117" s="64" t="s">
        <v>7</v>
      </c>
      <c r="F117" s="98" t="str">
        <f>Units</f>
        <v>US CUSTOMARY</v>
      </c>
    </row>
    <row r="118" spans="1:6" ht="14.25" thickTop="1" thickBot="1" x14ac:dyDescent="0.25">
      <c r="A118" s="2"/>
      <c r="B118" s="2"/>
      <c r="C118" s="3"/>
      <c r="D118" s="4"/>
      <c r="E118" s="6"/>
      <c r="F118" s="5"/>
    </row>
    <row r="119" spans="1:6" ht="19.5" customHeight="1" thickBot="1" x14ac:dyDescent="0.25">
      <c r="A119" s="41" t="s">
        <v>45</v>
      </c>
      <c r="B119" s="42"/>
      <c r="C119" s="42"/>
      <c r="D119" s="42"/>
      <c r="E119" s="42"/>
      <c r="F119" s="43"/>
    </row>
    <row r="120" spans="1:6" x14ac:dyDescent="0.2">
      <c r="A120" s="7"/>
      <c r="B120" s="23"/>
      <c r="C120" s="24"/>
      <c r="D120" s="24"/>
      <c r="E120" s="24"/>
      <c r="F120" s="24"/>
    </row>
    <row r="121" spans="1:6" ht="15" customHeight="1" x14ac:dyDescent="0.2">
      <c r="A121" s="145" t="s">
        <v>127</v>
      </c>
      <c r="B121" s="147" t="str">
        <f>IF(FP="FP-24","Thin Lift Asphalt concrete Pavement","RESERVED")</f>
        <v>RESERVED</v>
      </c>
      <c r="C121" s="33" t="s">
        <v>21</v>
      </c>
      <c r="D121" s="143" t="str">
        <f>IF(Units="US CUSTOMARY"," Tons"," tonnes")</f>
        <v xml:space="preserve"> Tons</v>
      </c>
      <c r="E121" s="146" t="s">
        <v>22</v>
      </c>
      <c r="F121" s="24"/>
    </row>
    <row r="122" spans="1:6" x14ac:dyDescent="0.2">
      <c r="A122" s="33" t="str">
        <f>IF(FP="FP-24","40401","-")</f>
        <v>-</v>
      </c>
      <c r="B122" s="104" t="str">
        <f>IF(FP="FP-24","Thin lift asphalt concrete pavement","-")</f>
        <v>-</v>
      </c>
      <c r="C122" s="198">
        <f>IF(Units="US Customary",2.4, 2.65)</f>
        <v>2.4</v>
      </c>
      <c r="D122" s="34"/>
      <c r="E122" s="105" t="str">
        <f>IF(ISNUMBER(D122),+C$122*D122, "-")</f>
        <v>-</v>
      </c>
      <c r="F122" s="24"/>
    </row>
    <row r="123" spans="1:6" x14ac:dyDescent="0.2">
      <c r="A123" s="33" t="str">
        <f>IF(FP="FP-24","40402","-")</f>
        <v>-</v>
      </c>
      <c r="B123" s="104" t="str">
        <f>IF(FP="FP-24","Thin lift asphalt concrete pavement*","-")</f>
        <v>-</v>
      </c>
      <c r="C123" s="199"/>
      <c r="D123" s="34"/>
      <c r="E123" s="105" t="str">
        <f>IF(ISNUMBER(D123),+C$122*D123, "-")</f>
        <v>-</v>
      </c>
      <c r="F123" s="24"/>
    </row>
    <row r="124" spans="1:6" ht="15" customHeight="1" x14ac:dyDescent="0.2">
      <c r="A124" s="145" t="s">
        <v>128</v>
      </c>
      <c r="B124" s="147" t="s">
        <v>129</v>
      </c>
      <c r="C124" s="33" t="s">
        <v>21</v>
      </c>
      <c r="D124" s="143" t="str">
        <f>IF(Units="US CUSTOMARY"," Tons"," tonnes")</f>
        <v xml:space="preserve"> Tons</v>
      </c>
      <c r="E124" s="146" t="s">
        <v>22</v>
      </c>
      <c r="F124" s="24"/>
    </row>
    <row r="125" spans="1:6" ht="15" x14ac:dyDescent="0.2">
      <c r="A125" s="33">
        <v>40501</v>
      </c>
      <c r="B125" s="106" t="s">
        <v>106</v>
      </c>
      <c r="C125" s="60">
        <f>IF(Units="US Customary",2.4, 2.65)</f>
        <v>2.4</v>
      </c>
      <c r="D125" s="34"/>
      <c r="E125" s="105" t="str">
        <f>IF(ISNUMBER(D125),+C$125*D125, "-")</f>
        <v>-</v>
      </c>
      <c r="F125" s="24"/>
    </row>
    <row r="126" spans="1:6" ht="15" customHeight="1" x14ac:dyDescent="0.2">
      <c r="A126" s="145" t="s">
        <v>132</v>
      </c>
      <c r="B126" s="147" t="str">
        <f>IF(FP="FP-24","Ultrathin Bonded Wearing Course","Cold Recycled Asphalt Base Course")</f>
        <v>Cold Recycled Asphalt Base Course</v>
      </c>
      <c r="C126" s="33" t="s">
        <v>21</v>
      </c>
      <c r="D126" s="143" t="str">
        <f>IF(Units="US CUSTOMARY"," Tons"," tonnes")</f>
        <v xml:space="preserve"> Tons</v>
      </c>
      <c r="E126" s="146" t="s">
        <v>22</v>
      </c>
      <c r="F126" s="13"/>
    </row>
    <row r="127" spans="1:6" ht="12.75" customHeight="1" x14ac:dyDescent="0.2">
      <c r="A127" s="33" t="str">
        <f>IF(FP="FP-24","40801","40801")</f>
        <v>40801</v>
      </c>
      <c r="B127" s="104" t="str">
        <f>IF(FP="FP-24","Ultrathin bonded wearing course","Cold recycled asphalt base course")</f>
        <v>Cold recycled asphalt base course</v>
      </c>
      <c r="C127" s="198">
        <f>IF(Units="US Customary",0.7, 0.77)</f>
        <v>0.7</v>
      </c>
      <c r="D127" s="34"/>
      <c r="E127" s="105" t="str">
        <f>IF(ISNUMBER(D127),+C$127*D127, "-")</f>
        <v>-</v>
      </c>
      <c r="F127" s="13"/>
    </row>
    <row r="128" spans="1:6" ht="12.75" customHeight="1" x14ac:dyDescent="0.2">
      <c r="A128" s="33" t="str">
        <f>IF(FP="FP-24","40802","40802")</f>
        <v>40802</v>
      </c>
      <c r="B128" s="104" t="str">
        <f>IF(FP="FP-24","Ultrathin bonded wearing course*","Cold recycled asphalt base course*")</f>
        <v>Cold recycled asphalt base course*</v>
      </c>
      <c r="C128" s="199"/>
      <c r="D128" s="34"/>
      <c r="E128" s="105" t="str">
        <f>IF(ISNUMBER(D128),+C$127*D128, "-")</f>
        <v>-</v>
      </c>
      <c r="F128" s="13"/>
    </row>
    <row r="129" spans="1:7" ht="15" customHeight="1" x14ac:dyDescent="0.2">
      <c r="A129" s="145" t="s">
        <v>130</v>
      </c>
      <c r="B129" s="147" t="s">
        <v>131</v>
      </c>
      <c r="C129" s="33" t="s">
        <v>21</v>
      </c>
      <c r="D129" s="143" t="str">
        <f>IF(Units="US CUSTOMARY"," SQYD","m2")</f>
        <v xml:space="preserve"> SQYD</v>
      </c>
      <c r="E129" s="146" t="s">
        <v>22</v>
      </c>
      <c r="F129" s="13"/>
    </row>
    <row r="130" spans="1:7" ht="12.75" customHeight="1" x14ac:dyDescent="0.2">
      <c r="A130" s="33">
        <v>50101</v>
      </c>
      <c r="B130" s="104" t="s">
        <v>109</v>
      </c>
      <c r="C130" s="198">
        <f>IF(Units="US Customary",0.6, 0.72)</f>
        <v>0.6</v>
      </c>
      <c r="D130" s="34"/>
      <c r="E130" s="105" t="str">
        <f>IF(ISNUMBER(D130),+C$130*D130, "-")</f>
        <v>-</v>
      </c>
      <c r="F130" s="13"/>
    </row>
    <row r="131" spans="1:7" ht="12.75" customHeight="1" x14ac:dyDescent="0.2">
      <c r="A131" s="33">
        <v>50102</v>
      </c>
      <c r="B131" s="104" t="str">
        <f>IF(FP="FP-24","Minor concrete pavement, reinforced","Minor concrete pavement, plain")</f>
        <v>Minor concrete pavement, plain</v>
      </c>
      <c r="C131" s="199"/>
      <c r="D131" s="34"/>
      <c r="E131" s="105" t="str">
        <f>IF(ISNUMBER(D131),+C$130*D131, "-")</f>
        <v>-</v>
      </c>
      <c r="F131" s="13"/>
    </row>
    <row r="132" spans="1:7" ht="12.75" customHeight="1" x14ac:dyDescent="0.2">
      <c r="A132" s="54" t="s">
        <v>44</v>
      </c>
      <c r="B132" s="25"/>
      <c r="C132" s="26"/>
      <c r="D132" s="27"/>
      <c r="E132" s="27"/>
      <c r="F132" s="27"/>
    </row>
    <row r="133" spans="1:7" ht="12.75" customHeight="1" x14ac:dyDescent="0.2">
      <c r="A133" s="25"/>
      <c r="B133" s="25"/>
      <c r="C133" s="26"/>
      <c r="D133" s="27"/>
      <c r="E133" s="27"/>
      <c r="F133" s="27"/>
    </row>
    <row r="134" spans="1:7" ht="12.75" customHeight="1" x14ac:dyDescent="0.2">
      <c r="A134" s="25"/>
      <c r="B134" s="25"/>
      <c r="C134" s="26"/>
      <c r="D134" s="27"/>
      <c r="E134" s="27"/>
      <c r="F134" s="27"/>
    </row>
    <row r="135" spans="1:7" ht="18" x14ac:dyDescent="0.2">
      <c r="A135" s="36"/>
      <c r="B135" s="39"/>
      <c r="C135" s="40" t="s">
        <v>46</v>
      </c>
      <c r="D135" s="111">
        <f>SUM(E61:E132)</f>
        <v>0</v>
      </c>
      <c r="E135" s="7"/>
      <c r="F135" s="7"/>
      <c r="G135" s="76"/>
    </row>
    <row r="136" spans="1:7" ht="18" x14ac:dyDescent="0.2">
      <c r="A136" s="7"/>
      <c r="B136" s="112"/>
      <c r="C136" s="113" t="s">
        <v>47</v>
      </c>
      <c r="D136" s="114"/>
      <c r="E136" s="24"/>
      <c r="F136" s="24"/>
      <c r="G136" s="76"/>
    </row>
    <row r="137" spans="1:7" ht="18" x14ac:dyDescent="0.2">
      <c r="A137" s="7"/>
      <c r="B137" s="115"/>
      <c r="C137" s="113" t="s">
        <v>48</v>
      </c>
      <c r="D137" s="116">
        <f>IFERROR(D136*1.6,"-")</f>
        <v>0</v>
      </c>
      <c r="E137" s="24"/>
      <c r="F137" s="24"/>
      <c r="G137" s="76"/>
    </row>
    <row r="138" spans="1:7" ht="18" x14ac:dyDescent="0.2">
      <c r="A138" s="25"/>
      <c r="B138" s="115"/>
      <c r="C138" s="117" t="s">
        <v>49</v>
      </c>
      <c r="D138" s="148">
        <f>IFERROR((1.6-1.1)*D136*D135,"-")</f>
        <v>0</v>
      </c>
      <c r="E138" s="27"/>
      <c r="F138" s="27"/>
      <c r="G138" s="76"/>
    </row>
    <row r="139" spans="1:7" ht="18" x14ac:dyDescent="0.15">
      <c r="A139" s="25"/>
      <c r="B139" s="115"/>
      <c r="C139" s="117" t="s">
        <v>50</v>
      </c>
      <c r="D139" s="149"/>
      <c r="E139" s="28"/>
      <c r="F139" s="29"/>
      <c r="G139" s="76"/>
    </row>
    <row r="140" spans="1:7" ht="18" x14ac:dyDescent="0.15">
      <c r="A140" s="25"/>
      <c r="B140" s="118"/>
      <c r="C140" s="119" t="s">
        <v>51</v>
      </c>
      <c r="D140" s="110">
        <f>SUM(D139)*D138</f>
        <v>0</v>
      </c>
      <c r="E140" s="28"/>
      <c r="F140" s="29"/>
      <c r="G140" s="76"/>
    </row>
    <row r="141" spans="1:7" x14ac:dyDescent="0.2">
      <c r="A141" s="25"/>
      <c r="B141" s="25"/>
      <c r="C141" s="37"/>
      <c r="D141" s="38"/>
      <c r="E141" s="28"/>
      <c r="F141" s="29"/>
    </row>
    <row r="142" spans="1:7" x14ac:dyDescent="0.2">
      <c r="A142" s="30"/>
      <c r="B142" s="31"/>
      <c r="C142" s="26"/>
      <c r="D142" s="27"/>
      <c r="E142" s="27"/>
      <c r="F142" s="27"/>
    </row>
    <row r="143" spans="1:7" ht="13.5" thickBot="1" x14ac:dyDescent="0.2">
      <c r="A143" s="25"/>
      <c r="B143" s="25"/>
      <c r="C143" s="26"/>
      <c r="D143" s="27"/>
      <c r="E143" s="28"/>
      <c r="F143" s="29"/>
    </row>
    <row r="144" spans="1:7" ht="19.5" customHeight="1" thickBot="1" x14ac:dyDescent="0.25">
      <c r="A144" s="150" t="s">
        <v>52</v>
      </c>
      <c r="B144" s="44"/>
      <c r="C144" s="44"/>
      <c r="D144" s="44"/>
      <c r="E144" s="44"/>
      <c r="F144" s="45"/>
    </row>
    <row r="145" spans="1:7" x14ac:dyDescent="0.2">
      <c r="A145" s="30"/>
      <c r="B145" s="31"/>
      <c r="C145" s="26"/>
      <c r="D145" s="27"/>
      <c r="E145" s="27"/>
      <c r="F145" s="27"/>
    </row>
    <row r="146" spans="1:7" x14ac:dyDescent="0.2">
      <c r="A146" s="7"/>
      <c r="B146" s="23"/>
      <c r="C146" s="24"/>
      <c r="D146" s="24"/>
      <c r="E146" s="24"/>
      <c r="F146" s="24"/>
    </row>
    <row r="147" spans="1:7" ht="18.75" thickBot="1" x14ac:dyDescent="0.2">
      <c r="A147" s="25"/>
      <c r="B147" s="39"/>
      <c r="C147" s="40" t="s">
        <v>53</v>
      </c>
      <c r="D147" s="151"/>
      <c r="E147" s="28"/>
      <c r="F147" s="29"/>
      <c r="G147" s="76"/>
    </row>
    <row r="148" spans="1:7" ht="18.75" thickTop="1" x14ac:dyDescent="0.15">
      <c r="A148" s="25"/>
      <c r="B148" s="112"/>
      <c r="C148" s="113" t="s">
        <v>54</v>
      </c>
      <c r="D148" s="152"/>
      <c r="E148" s="28"/>
      <c r="F148" s="29"/>
      <c r="G148" s="76"/>
    </row>
    <row r="149" spans="1:7" ht="18" x14ac:dyDescent="0.15">
      <c r="A149" s="25"/>
      <c r="B149" s="115"/>
      <c r="C149" s="113" t="s">
        <v>48</v>
      </c>
      <c r="D149" s="116">
        <f>IFERROR(D148*1.6,"-")</f>
        <v>0</v>
      </c>
      <c r="E149" s="28"/>
      <c r="F149" s="29"/>
      <c r="G149" s="76"/>
    </row>
    <row r="150" spans="1:7" ht="18" x14ac:dyDescent="0.15">
      <c r="A150" s="25"/>
      <c r="B150" s="115"/>
      <c r="C150" s="117" t="s">
        <v>55</v>
      </c>
      <c r="D150" s="148">
        <f>IFERROR((1.6-1.1)*D148*(D147*0.06),"-")</f>
        <v>0</v>
      </c>
      <c r="E150" s="28"/>
      <c r="F150" s="29"/>
      <c r="G150" s="76"/>
    </row>
    <row r="151" spans="1:7" ht="18" x14ac:dyDescent="0.15">
      <c r="A151" s="25"/>
      <c r="B151" s="115"/>
      <c r="C151" s="117" t="s">
        <v>50</v>
      </c>
      <c r="D151" s="149"/>
      <c r="E151" s="28"/>
      <c r="F151" s="29"/>
      <c r="G151" s="76"/>
    </row>
    <row r="152" spans="1:7" ht="18" x14ac:dyDescent="0.2">
      <c r="A152" s="25"/>
      <c r="B152" s="118"/>
      <c r="C152" s="119" t="s">
        <v>56</v>
      </c>
      <c r="D152" s="110">
        <f>SUM(D151)*D150</f>
        <v>0</v>
      </c>
      <c r="E152" s="27"/>
      <c r="F152" s="27"/>
      <c r="G152" s="76"/>
    </row>
    <row r="153" spans="1:7" x14ac:dyDescent="0.2">
      <c r="A153" s="25"/>
      <c r="B153" s="25"/>
      <c r="C153" s="26"/>
      <c r="D153" s="27"/>
      <c r="E153" s="27"/>
      <c r="F153" s="27"/>
    </row>
    <row r="154" spans="1:7" x14ac:dyDescent="0.2">
      <c r="A154" s="30"/>
      <c r="B154" s="31"/>
      <c r="C154" s="26"/>
      <c r="D154" s="27"/>
      <c r="E154" s="27"/>
      <c r="F154" s="27"/>
    </row>
    <row r="155" spans="1:7" x14ac:dyDescent="0.2">
      <c r="A155" s="31"/>
      <c r="B155" s="31"/>
      <c r="C155" s="26"/>
      <c r="D155" s="27"/>
      <c r="E155" s="27"/>
      <c r="F155" s="27"/>
    </row>
  </sheetData>
  <dataConsolidate/>
  <mergeCells count="26">
    <mergeCell ref="C62:C66"/>
    <mergeCell ref="C68:C71"/>
    <mergeCell ref="C73:C80"/>
    <mergeCell ref="A34:F34"/>
    <mergeCell ref="A32:E32"/>
    <mergeCell ref="A41:E41"/>
    <mergeCell ref="A52:F52"/>
    <mergeCell ref="B56:D56"/>
    <mergeCell ref="A25:F25"/>
    <mergeCell ref="A1:F1"/>
    <mergeCell ref="B5:D5"/>
    <mergeCell ref="A8:F8"/>
    <mergeCell ref="A18:F18"/>
    <mergeCell ref="C93:C94"/>
    <mergeCell ref="C96:C100"/>
    <mergeCell ref="C102:C103"/>
    <mergeCell ref="C82:C83"/>
    <mergeCell ref="C89:C91"/>
    <mergeCell ref="C85:C87"/>
    <mergeCell ref="C105:C106"/>
    <mergeCell ref="C130:C131"/>
    <mergeCell ref="A112:F112"/>
    <mergeCell ref="C108:C110"/>
    <mergeCell ref="C122:C123"/>
    <mergeCell ref="C127:C128"/>
    <mergeCell ref="B116:D116"/>
  </mergeCells>
  <conditionalFormatting sqref="A61:E131">
    <cfRule type="expression" dxfId="5" priority="1">
      <formula>$C61="FUF"</formula>
    </cfRule>
  </conditionalFormatting>
  <dataValidations xWindow="221" yWindow="332" count="11">
    <dataValidation type="list" showInputMessage="1" showErrorMessage="1" error="Please use drop-down menu to select a schedule letter" promptTitle="Choose Letter" prompt="If you need more than six schedules, then copy addtional sheet tabs and calculate incentives separately for each schedule._x000a__x000a_Sheets tabs can be copied by left clicking the active tab, choosing 'Move or Copy', then clicking the 'Create Copy' checkbox.  " sqref="F5" xr:uid="{00000000-0002-0000-0000-000000000000}">
      <formula1>"  , A, B, C, D, E, F, G, W, X, Y, Z"</formula1>
    </dataValidation>
    <dataValidation type="list" allowBlank="1" showInputMessage="1" showErrorMessage="1" error="Please use the drop-down menu to select the project units" promptTitle="Select Units" prompt="Select Metric or US Customary" sqref="F6" xr:uid="{00000000-0002-0000-0000-000001000000}">
      <formula1>"METRIC, US CUSTOMARY"</formula1>
    </dataValidation>
    <dataValidation type="whole" operator="greaterThanOrEqual" allowBlank="1" showInputMessage="1" showErrorMessage="1" error="Bid decimals set to zero._x000a__x000a_Contact Steve Chapman (X7801)_x000a_                   or_x000a_    Greg Kwock (X7987)_x000a__x000a_to modify Incentive Spreadsheet." sqref="C24 C30 C111" xr:uid="{00000000-0002-0000-0000-000002000000}">
      <formula1>0</formula1>
    </dataValidation>
    <dataValidation type="list" allowBlank="1" showInputMessage="1" showErrorMessage="1" error="Please use the drop-down menu to select the FP version" promptTitle="Select FP Version" prompt="Select FP-24 or FP-14" sqref="C2" xr:uid="{00000000-0002-0000-0000-000003000000}">
      <formula1>" , FP-24, FP-14"</formula1>
    </dataValidation>
    <dataValidation allowBlank="1" showInputMessage="1" showErrorMessage="1" promptTitle="Enter project number" prompt="Example:  CA FTNP JOTR 11(5)" sqref="B4" xr:uid="{00000000-0002-0000-0000-000004000000}"/>
    <dataValidation type="whole" operator="greaterThanOrEqual" allowBlank="1" showInputMessage="1" showErrorMessage="1" error="Bid decimals set to zero._x000a__x000a_Contact Heidi Hirsbrunner (X3622)_x000a_                _x000a_to modify Incentive Spreadsheet." sqref="C36:C38 C10:C17 C20:C23 C27:C29" xr:uid="{00000000-0002-0000-0000-000008000000}">
      <formula1>0</formula1>
    </dataValidation>
    <dataValidation type="whole" operator="greaterThanOrEqual" allowBlank="1" showInputMessage="1" showErrorMessage="1" error="Bid decimals set to zero._x000a__x000a_Contact Heidi Hirsbrunner (X3622)_x000a_                   _x000a_to modify Incentive Spreadsheet." sqref="D68:D71 D62:D66" xr:uid="{00000000-0002-0000-0000-000009000000}">
      <formula1>0</formula1>
    </dataValidation>
    <dataValidation type="whole" operator="greaterThanOrEqual" allowBlank="1" showInputMessage="1" showErrorMessage="1" error="Bid decimals set to zero._x000a__x000a_Contact Heidi Hirsbrunner (X3622) _x000a__x000a_to modify Incentive Spreadsheet." sqref="D73:D80 D82:D83" xr:uid="{00000000-0002-0000-0000-00000A000000}">
      <formula1>0</formula1>
    </dataValidation>
    <dataValidation type="whole" operator="greaterThanOrEqual" allowBlank="1" showInputMessage="1" showErrorMessage="1" error="Bid decimals set to zero._x000a__x000a_Contact Heidi Hirsbrunner (X3622)_x000a__x000a_to modify Incentive Spreadsheet." sqref="D108:D110 D93:D94 D130:D131 D102:D103 D89:D91 D125 D122:D123 D127:D128 D85:D87 D105:D106 D96:D100" xr:uid="{00000000-0002-0000-0000-00000C000000}">
      <formula1>0</formula1>
    </dataValidation>
    <dataValidation type="list" allowBlank="1" showInputMessage="1" showErrorMessage="1" promptTitle="Select Schedule Type" prompt="Select Base, Option, or Alternate" sqref="F4" xr:uid="{D7AB5836-2E94-478C-B9C2-CD29892810D7}">
      <formula1>", Base, Option, Alternate"</formula1>
    </dataValidation>
    <dataValidation allowBlank="1" showInputMessage="1" showErrorMessage="1" promptTitle="Enter project name" prompt="Example:  Pinto Basin Road" sqref="B5:D6" xr:uid="{00000000-0002-0000-0000-000005000000}"/>
  </dataValidations>
  <printOptions horizontalCentered="1"/>
  <pageMargins left="0.45" right="0.45" top="0.6" bottom="0.25" header="0" footer="0.05"/>
  <pageSetup scale="81" fitToHeight="2" orientation="portrait" r:id="rId1"/>
  <headerFooter>
    <oddFooter>&amp;RRev. 04-23-2024</oddFooter>
  </headerFooter>
  <rowBreaks count="2" manualBreakCount="2">
    <brk id="51" max="7" man="1"/>
    <brk id="111" max="6" man="1"/>
  </rowBreaks>
  <ignoredErrors>
    <ignoredError sqref="A100 A102:A103 A105:A106 A96 A98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E8F0A-6577-4623-9873-9B417A5A9E6F}">
  <dimension ref="A1:G155"/>
  <sheetViews>
    <sheetView showGridLines="0" zoomScaleNormal="100" workbookViewId="0">
      <selection activeCell="F5" sqref="F5"/>
    </sheetView>
  </sheetViews>
  <sheetFormatPr defaultColWidth="9.140625" defaultRowHeight="12.75" x14ac:dyDescent="0.2"/>
  <cols>
    <col min="1" max="1" width="14.7109375" style="1" customWidth="1"/>
    <col min="2" max="2" width="36.7109375" style="1" customWidth="1"/>
    <col min="3" max="3" width="14.7109375" style="20" customWidth="1"/>
    <col min="4" max="5" width="14.7109375" style="21" customWidth="1"/>
    <col min="6" max="6" width="16.7109375" style="21" customWidth="1"/>
    <col min="7" max="16384" width="9.140625" style="1"/>
  </cols>
  <sheetData>
    <row r="1" spans="1:7" ht="24" thickBot="1" x14ac:dyDescent="0.25">
      <c r="A1" s="206" t="s">
        <v>77</v>
      </c>
      <c r="B1" s="206"/>
      <c r="C1" s="206"/>
      <c r="D1" s="206"/>
      <c r="E1" s="206"/>
      <c r="F1" s="206"/>
      <c r="G1" s="77" t="s">
        <v>91</v>
      </c>
    </row>
    <row r="2" spans="1:7" ht="14.25" thickTop="1" thickBot="1" x14ac:dyDescent="0.25">
      <c r="A2" s="70"/>
      <c r="B2" s="96" t="s">
        <v>94</v>
      </c>
      <c r="C2" s="98" t="str">
        <f>FP</f>
        <v>FP-14</v>
      </c>
      <c r="D2" s="73"/>
      <c r="E2" s="73"/>
      <c r="F2" s="73"/>
    </row>
    <row r="3" spans="1:7" ht="19.5" thickTop="1" thickBot="1" x14ac:dyDescent="0.25">
      <c r="A3" s="70"/>
      <c r="B3" s="70"/>
      <c r="C3" s="74"/>
      <c r="D3" s="73"/>
      <c r="E3" s="64" t="s">
        <v>1</v>
      </c>
      <c r="F3" s="65">
        <f ca="1" xml:space="preserve"> TODAY()</f>
        <v>45469</v>
      </c>
      <c r="G3" s="76"/>
    </row>
    <row r="4" spans="1:7" ht="19.5" thickTop="1" thickBot="1" x14ac:dyDescent="0.25">
      <c r="A4" s="96" t="s">
        <v>107</v>
      </c>
      <c r="B4" s="103" t="str">
        <f>ProjNum</f>
        <v>WA WFL Test(1)</v>
      </c>
      <c r="C4" s="99"/>
      <c r="D4" s="100"/>
      <c r="E4" s="66" t="s">
        <v>3</v>
      </c>
      <c r="F4" s="67" t="s">
        <v>4</v>
      </c>
      <c r="G4" s="76"/>
    </row>
    <row r="5" spans="1:7" ht="19.5" thickTop="1" thickBot="1" x14ac:dyDescent="0.25">
      <c r="A5" s="96" t="s">
        <v>108</v>
      </c>
      <c r="B5" s="201" t="str">
        <f>ProjName</f>
        <v>Wafflehead Park Road</v>
      </c>
      <c r="C5" s="201"/>
      <c r="D5" s="201"/>
      <c r="E5" s="66" t="s">
        <v>5</v>
      </c>
      <c r="F5" s="68" t="s">
        <v>57</v>
      </c>
      <c r="G5" s="76"/>
    </row>
    <row r="6" spans="1:7" ht="19.5" thickTop="1" thickBot="1" x14ac:dyDescent="0.25">
      <c r="A6" s="61"/>
      <c r="B6" s="75"/>
      <c r="C6" s="75"/>
      <c r="D6" s="75"/>
      <c r="E6" s="64" t="s">
        <v>7</v>
      </c>
      <c r="F6" s="98" t="str">
        <f>Units</f>
        <v>US CUSTOMARY</v>
      </c>
      <c r="G6" s="76"/>
    </row>
    <row r="7" spans="1:7" ht="14.25" thickTop="1" thickBot="1" x14ac:dyDescent="0.25">
      <c r="A7" s="70"/>
      <c r="B7" s="70"/>
      <c r="C7" s="72"/>
      <c r="D7" s="73"/>
      <c r="E7" s="64"/>
      <c r="F7" s="63"/>
    </row>
    <row r="8" spans="1:7" ht="18.75" thickBot="1" x14ac:dyDescent="0.25">
      <c r="A8" s="208" t="s">
        <v>9</v>
      </c>
      <c r="B8" s="208"/>
      <c r="C8" s="208"/>
      <c r="D8" s="208"/>
      <c r="E8" s="208"/>
      <c r="F8" s="208"/>
      <c r="G8" s="84"/>
    </row>
    <row r="9" spans="1:7" ht="26.25" thickBot="1" x14ac:dyDescent="0.25">
      <c r="A9" s="94" t="s">
        <v>93</v>
      </c>
      <c r="B9" s="8" t="s">
        <v>10</v>
      </c>
      <c r="C9" s="95" t="str">
        <f>"Quantity"&amp;CHAR(10)&amp;IF(Units="US CUSTOMARY"," (Ton or SY)"," (tonnes or m2)")</f>
        <v>Quantity
 (Ton or SY)</v>
      </c>
      <c r="D9" s="9" t="s">
        <v>11</v>
      </c>
      <c r="E9" s="95" t="str">
        <f>"Q_"&amp;IF(Units="US CUSTOMARY","Ton","t")&amp;CHAR(10)&amp;"Unit Price"</f>
        <v>Q_Ton
Unit Price</v>
      </c>
      <c r="F9" s="9" t="s">
        <v>12</v>
      </c>
    </row>
    <row r="10" spans="1:7" ht="19.5" thickTop="1" thickBot="1" x14ac:dyDescent="0.25">
      <c r="A10" s="86">
        <f>IF(ISBLANK(Schedule1!A10),"",Schedule1!A10)</f>
        <v>301</v>
      </c>
      <c r="B10" s="56" t="str">
        <f>IF(ISBLANK(Schedule1!B10),"",Schedule1!B10)</f>
        <v>Untreated Aggregate Courses</v>
      </c>
      <c r="C10" s="78"/>
      <c r="D10" s="85"/>
      <c r="E10" s="87">
        <f t="shared" ref="E10:E16" si="0">ROUND(D10*Materials1,2)</f>
        <v>0</v>
      </c>
      <c r="F10" s="87">
        <f>C10*E10</f>
        <v>0</v>
      </c>
      <c r="G10" s="76"/>
    </row>
    <row r="11" spans="1:7" ht="19.5" thickTop="1" thickBot="1" x14ac:dyDescent="0.25">
      <c r="A11" s="86" t="str">
        <f>IF(ISBLANK(Schedule1!A11),"",Schedule1!A11)</f>
        <v>309</v>
      </c>
      <c r="B11" s="56" t="str">
        <f>IF(ISBLANK(Schedule1!B11),"",Schedule1!B11)</f>
        <v>Emulsified Asphalt-Treated Base Course</v>
      </c>
      <c r="C11" s="80"/>
      <c r="D11" s="88"/>
      <c r="E11" s="87">
        <f t="shared" si="0"/>
        <v>0</v>
      </c>
      <c r="F11" s="87">
        <f t="shared" ref="F11:F16" si="1">C11*E11</f>
        <v>0</v>
      </c>
      <c r="G11" s="76"/>
    </row>
    <row r="12" spans="1:7" ht="19.5" thickTop="1" thickBot="1" x14ac:dyDescent="0.25">
      <c r="A12" s="81">
        <f>IF(ISBLANK(Schedule1!A12),"",Schedule1!A12)</f>
        <v>311</v>
      </c>
      <c r="B12" s="56" t="str">
        <f>IF(ISBLANK(Schedule1!B12),"",Schedule1!B12)</f>
        <v>Stabilized Aggregate Surface Course</v>
      </c>
      <c r="C12" s="80"/>
      <c r="D12" s="88"/>
      <c r="E12" s="87">
        <f t="shared" si="0"/>
        <v>0</v>
      </c>
      <c r="F12" s="87">
        <f t="shared" si="1"/>
        <v>0</v>
      </c>
      <c r="G12" s="76"/>
    </row>
    <row r="13" spans="1:7" ht="19.5" thickTop="1" thickBot="1" x14ac:dyDescent="0.25">
      <c r="A13" s="86">
        <f>IF(ISBLANK(Schedule1!A13),"",Schedule1!A13)</f>
        <v>405</v>
      </c>
      <c r="B13" s="56" t="str">
        <f>IF(ISBLANK(Schedule1!B13),"",Schedule1!B13)</f>
        <v>Open-Graded Asphalt Friction Course</v>
      </c>
      <c r="C13" s="80"/>
      <c r="D13" s="88"/>
      <c r="E13" s="87">
        <f t="shared" si="0"/>
        <v>0</v>
      </c>
      <c r="F13" s="87">
        <f t="shared" si="1"/>
        <v>0</v>
      </c>
      <c r="G13" s="76"/>
    </row>
    <row r="14" spans="1:7" ht="19.5" thickTop="1" thickBot="1" x14ac:dyDescent="0.25">
      <c r="A14" s="86">
        <f>IF(ISBLANK(Schedule1!A14),"",Schedule1!A14)</f>
        <v>407</v>
      </c>
      <c r="B14" s="56" t="str">
        <f>IF(ISBLANK(Schedule1!B14),"",Schedule1!B14)</f>
        <v>Chip Seal</v>
      </c>
      <c r="C14" s="80"/>
      <c r="D14" s="88"/>
      <c r="E14" s="87">
        <f t="shared" si="0"/>
        <v>0</v>
      </c>
      <c r="F14" s="87">
        <f t="shared" si="1"/>
        <v>0</v>
      </c>
      <c r="G14" s="76"/>
    </row>
    <row r="15" spans="1:7" ht="19.5" thickTop="1" thickBot="1" x14ac:dyDescent="0.25">
      <c r="A15" s="59" t="str">
        <f>IF(ISBLANK(Schedule1!A15),"",Schedule1!A15)</f>
        <v>-</v>
      </c>
      <c r="B15" s="56" t="str">
        <f>IF(ISBLANK(Schedule1!B15),"",Schedule1!B15)</f>
        <v/>
      </c>
      <c r="C15" s="82"/>
      <c r="D15" s="89"/>
      <c r="E15" s="87">
        <f t="shared" si="0"/>
        <v>0</v>
      </c>
      <c r="F15" s="87">
        <f t="shared" si="1"/>
        <v>0</v>
      </c>
      <c r="G15" s="76"/>
    </row>
    <row r="16" spans="1:7" ht="18.75" thickTop="1" x14ac:dyDescent="0.2">
      <c r="A16" s="59" t="str">
        <f>IF(ISBLANK(Schedule1!A16),"",Schedule1!A16)</f>
        <v>-</v>
      </c>
      <c r="B16" s="56" t="str">
        <f>IF(ISBLANK(Schedule1!B16),"",Schedule1!B16)</f>
        <v/>
      </c>
      <c r="C16" s="82"/>
      <c r="D16" s="89"/>
      <c r="E16" s="87">
        <f t="shared" si="0"/>
        <v>0</v>
      </c>
      <c r="F16" s="87">
        <f t="shared" si="1"/>
        <v>0</v>
      </c>
      <c r="G16" s="76"/>
    </row>
    <row r="17" spans="1:7" ht="13.5" thickBot="1" x14ac:dyDescent="0.25">
      <c r="A17" s="86"/>
      <c r="B17" s="56"/>
      <c r="C17" s="83"/>
      <c r="D17" s="90"/>
      <c r="E17" s="87"/>
      <c r="F17" s="87"/>
    </row>
    <row r="18" spans="1:7" ht="18.75" thickBot="1" x14ac:dyDescent="0.25">
      <c r="A18" s="205" t="s">
        <v>13</v>
      </c>
      <c r="B18" s="205"/>
      <c r="C18" s="205"/>
      <c r="D18" s="205"/>
      <c r="E18" s="205"/>
      <c r="F18" s="205"/>
      <c r="G18" s="84"/>
    </row>
    <row r="19" spans="1:7" ht="26.25" thickBot="1" x14ac:dyDescent="0.25">
      <c r="A19" s="94" t="s">
        <v>93</v>
      </c>
      <c r="B19" s="8" t="s">
        <v>10</v>
      </c>
      <c r="C19" s="95" t="str">
        <f>"Quantity"&amp;CHAR(10)&amp;IF(Units="US CUSTOMARY"," (Ton or SY)"," (tonnes or m2)")</f>
        <v>Quantity
 (Ton or SY)</v>
      </c>
      <c r="D19" s="9" t="s">
        <v>11</v>
      </c>
      <c r="E19" s="95" t="str">
        <f>"Q_"&amp;IF(Units="US CUSTOMARY","Ton","t")&amp;CHAR(10)&amp;"Unit Price"</f>
        <v>Q_Ton
Unit Price</v>
      </c>
      <c r="F19" s="9" t="s">
        <v>12</v>
      </c>
    </row>
    <row r="20" spans="1:7" ht="19.5" thickTop="1" thickBot="1" x14ac:dyDescent="0.25">
      <c r="A20" s="86" t="str">
        <f>IF(ISBLANK(Schedule1!A20),"",Schedule1!A20)</f>
        <v>401</v>
      </c>
      <c r="B20" s="56" t="str">
        <f>IF(ISBLANK(Schedule1!B20),"",Schedule1!B20)</f>
        <v>ACP by Gyratory Mix Design</v>
      </c>
      <c r="C20" s="78"/>
      <c r="D20" s="85"/>
      <c r="E20" s="87">
        <f>ROUND(D20*Materials2,2)</f>
        <v>0</v>
      </c>
      <c r="F20" s="87">
        <f>C20*E20</f>
        <v>0</v>
      </c>
      <c r="G20" s="76"/>
    </row>
    <row r="21" spans="1:7" ht="19.5" thickTop="1" thickBot="1" x14ac:dyDescent="0.25">
      <c r="A21" s="86" t="str">
        <f>IF(ISBLANK(Schedule1!A21),"",Schedule1!A21)</f>
        <v>-</v>
      </c>
      <c r="B21" s="86" t="str">
        <f>IF(ISBLANK(Schedule1!B21),"",Schedule1!B21)</f>
        <v/>
      </c>
      <c r="C21" s="80"/>
      <c r="D21" s="88"/>
      <c r="E21" s="87">
        <f>ROUND(D21*Materials2,2)</f>
        <v>0</v>
      </c>
      <c r="F21" s="87">
        <f t="shared" ref="F21:F23" si="2">C21*E21</f>
        <v>0</v>
      </c>
      <c r="G21" s="76"/>
    </row>
    <row r="22" spans="1:7" ht="19.5" thickTop="1" thickBot="1" x14ac:dyDescent="0.25">
      <c r="A22" s="86" t="str">
        <f>IF(ISBLANK(Schedule1!A22),"",Schedule1!A22)</f>
        <v>-</v>
      </c>
      <c r="B22" s="56" t="str">
        <f>IF(ISBLANK(Schedule1!B22),"",Schedule1!B22)</f>
        <v/>
      </c>
      <c r="C22" s="80"/>
      <c r="D22" s="88"/>
      <c r="E22" s="87">
        <f>ROUND(D22*Materials2,2)</f>
        <v>0</v>
      </c>
      <c r="F22" s="87">
        <f t="shared" si="2"/>
        <v>0</v>
      </c>
      <c r="G22" s="76"/>
    </row>
    <row r="23" spans="1:7" ht="19.5" thickTop="1" thickBot="1" x14ac:dyDescent="0.25">
      <c r="A23" s="86" t="str">
        <f>IF(ISBLANK(Schedule1!A23),"",Schedule1!A23)</f>
        <v/>
      </c>
      <c r="B23" s="56" t="str">
        <f>IF(ISBLANK(Schedule1!B23),"",Schedule1!B23)</f>
        <v/>
      </c>
      <c r="C23" s="80"/>
      <c r="D23" s="88"/>
      <c r="E23" s="87">
        <f>ROUND(D23*Materials2,2)</f>
        <v>0</v>
      </c>
      <c r="F23" s="87">
        <f t="shared" si="2"/>
        <v>0</v>
      </c>
      <c r="G23" s="76"/>
    </row>
    <row r="24" spans="1:7" ht="15" customHeight="1" thickTop="1" thickBot="1" x14ac:dyDescent="0.25">
      <c r="A24" s="10"/>
      <c r="B24" s="11"/>
      <c r="C24" s="47"/>
      <c r="D24" s="48"/>
      <c r="E24" s="13"/>
      <c r="F24" s="13"/>
    </row>
    <row r="25" spans="1:7" ht="18.75" thickBot="1" x14ac:dyDescent="0.25">
      <c r="A25" s="205" t="s">
        <v>14</v>
      </c>
      <c r="B25" s="205"/>
      <c r="C25" s="205"/>
      <c r="D25" s="205"/>
      <c r="E25" s="205"/>
      <c r="F25" s="205"/>
      <c r="G25" s="84"/>
    </row>
    <row r="26" spans="1:7" ht="26.25" thickBot="1" x14ac:dyDescent="0.25">
      <c r="A26" s="94" t="s">
        <v>93</v>
      </c>
      <c r="B26" s="8" t="s">
        <v>10</v>
      </c>
      <c r="C26" s="95" t="str">
        <f>"Quantity"&amp;CHAR(10)&amp;IF(Units="US CUSTOMARY"," (Ton or SY)"," (tonnes or m2)")</f>
        <v>Quantity
 (Ton or SY)</v>
      </c>
      <c r="D26" s="9" t="s">
        <v>11</v>
      </c>
      <c r="E26" s="95" t="str">
        <f>"Q_"&amp;IF(Units="US CUSTOMARY","Ton","t")&amp;CHAR(10)&amp;"Unit Price"</f>
        <v>Q_Ton
Unit Price</v>
      </c>
      <c r="F26" s="9" t="s">
        <v>12</v>
      </c>
    </row>
    <row r="27" spans="1:7" ht="19.5" thickTop="1" thickBot="1" x14ac:dyDescent="0.25">
      <c r="A27" s="86" t="str">
        <f>IF(ISBLANK(Schedule1!A27),"",Schedule1!A27)</f>
        <v xml:space="preserve"> -</v>
      </c>
      <c r="B27" s="56" t="str">
        <f>IF(ISBLANK(Schedule1!B27),"",Schedule1!B27)</f>
        <v xml:space="preserve">                      -</v>
      </c>
      <c r="C27" s="78"/>
      <c r="D27" s="85"/>
      <c r="E27" s="87">
        <f>ROUND(D27*Materials3,2)</f>
        <v>0</v>
      </c>
      <c r="F27" s="87">
        <f>C27*E27</f>
        <v>0</v>
      </c>
      <c r="G27" s="76"/>
    </row>
    <row r="28" spans="1:7" ht="19.5" thickTop="1" thickBot="1" x14ac:dyDescent="0.25">
      <c r="A28" s="86" t="str">
        <f>IF(ISBLANK(Schedule1!A28),"",Schedule1!A28)</f>
        <v>-</v>
      </c>
      <c r="B28" s="56" t="str">
        <f>IF(ISBLANK(Schedule1!B28),"",Schedule1!B28)</f>
        <v/>
      </c>
      <c r="C28" s="80"/>
      <c r="D28" s="88"/>
      <c r="E28" s="87">
        <f>ROUND(D28*Materials3,2)</f>
        <v>0</v>
      </c>
      <c r="F28" s="87">
        <f>C28*E28</f>
        <v>0</v>
      </c>
      <c r="G28" s="76"/>
    </row>
    <row r="29" spans="1:7" ht="19.5" thickTop="1" thickBot="1" x14ac:dyDescent="0.25">
      <c r="A29" s="86" t="str">
        <f>IF(ISBLANK(Schedule1!A29),"",Schedule1!A29)</f>
        <v>-</v>
      </c>
      <c r="B29" s="56" t="str">
        <f>IF(ISBLANK(Schedule1!B29),"",Schedule1!B29)</f>
        <v/>
      </c>
      <c r="C29" s="80"/>
      <c r="D29" s="88"/>
      <c r="E29" s="87">
        <f>ROUND(D29*Materials3,2)</f>
        <v>0</v>
      </c>
      <c r="F29" s="87">
        <f>C29*E29</f>
        <v>0</v>
      </c>
      <c r="G29" s="76"/>
    </row>
    <row r="30" spans="1:7" ht="13.5" thickTop="1" x14ac:dyDescent="0.2">
      <c r="A30" s="10"/>
      <c r="B30" s="11"/>
      <c r="C30" s="12"/>
      <c r="D30" s="14"/>
      <c r="E30" s="13"/>
      <c r="F30" s="13"/>
    </row>
    <row r="31" spans="1:7" x14ac:dyDescent="0.2">
      <c r="A31" s="2"/>
      <c r="B31" s="2"/>
      <c r="C31" s="3"/>
      <c r="D31" s="4"/>
      <c r="E31" s="4"/>
      <c r="F31" s="4"/>
    </row>
    <row r="32" spans="1:7" x14ac:dyDescent="0.2">
      <c r="A32" s="211" t="s">
        <v>95</v>
      </c>
      <c r="B32" s="211"/>
      <c r="C32" s="211"/>
      <c r="D32" s="211"/>
      <c r="E32" s="211"/>
      <c r="F32" s="109">
        <f>SUM(F10:F16,F20:F23,F27:F29)</f>
        <v>0</v>
      </c>
    </row>
    <row r="33" spans="1:7" ht="13.5" thickBot="1" x14ac:dyDescent="0.25">
      <c r="A33" s="15"/>
      <c r="B33" s="15"/>
      <c r="C33" s="15"/>
      <c r="D33" s="15"/>
      <c r="E33" s="15"/>
      <c r="F33" s="16"/>
    </row>
    <row r="34" spans="1:7" ht="18.75" thickBot="1" x14ac:dyDescent="0.25">
      <c r="A34" s="210" t="s">
        <v>15</v>
      </c>
      <c r="B34" s="210"/>
      <c r="C34" s="210"/>
      <c r="D34" s="210"/>
      <c r="E34" s="210"/>
      <c r="F34" s="210"/>
    </row>
    <row r="35" spans="1:7" ht="26.25" thickBot="1" x14ac:dyDescent="0.25">
      <c r="A35" s="94" t="s">
        <v>93</v>
      </c>
      <c r="B35" s="8" t="s">
        <v>10</v>
      </c>
      <c r="C35" s="97" t="str">
        <f>"Project"&amp;CHAR(10)&amp;"Lane-"&amp;IF(Units="US CUSTOMARY","miles","kilometers")</f>
        <v>Project
Lane-miles</v>
      </c>
      <c r="D35" s="9"/>
      <c r="E35" s="9"/>
      <c r="F35" s="9" t="s">
        <v>12</v>
      </c>
    </row>
    <row r="36" spans="1:7" ht="19.5" thickTop="1" thickBot="1" x14ac:dyDescent="0.25">
      <c r="A36" s="86">
        <f>IF(ISBLANK(Schedule1!A36),"",Schedule1!A36)</f>
        <v>401</v>
      </c>
      <c r="B36" s="70" t="str">
        <f>IF(ISBLANK(Schedule1!B36),"",Schedule1!B36)</f>
        <v>ACP by Gyratory Mix Design</v>
      </c>
      <c r="C36" s="78"/>
      <c r="D36" s="79"/>
      <c r="E36" s="79"/>
      <c r="F36" s="87">
        <f>C36*IF(Units="US CUSTOMARY",100000,62200)*Rough</f>
        <v>0</v>
      </c>
      <c r="G36" s="76"/>
    </row>
    <row r="37" spans="1:7" ht="19.5" thickTop="1" thickBot="1" x14ac:dyDescent="0.25">
      <c r="A37" s="86" t="str">
        <f>IF(ISBLANK(Schedule1!A37),"",Schedule1!A37)</f>
        <v>-</v>
      </c>
      <c r="B37" s="70" t="str">
        <f>IF(ISBLANK(Schedule1!B37),"",Schedule1!B37)</f>
        <v/>
      </c>
      <c r="C37" s="80"/>
      <c r="D37" s="79"/>
      <c r="E37" s="79"/>
      <c r="F37" s="87">
        <f>C37*IF(Units="US CUSTOMARY",100000,62200)*Rough</f>
        <v>0</v>
      </c>
      <c r="G37" s="76"/>
    </row>
    <row r="38" spans="1:7" ht="19.5" thickTop="1" thickBot="1" x14ac:dyDescent="0.25">
      <c r="A38" s="86" t="str">
        <f>IF(ISBLANK(Schedule1!A38),"",Schedule1!A38)</f>
        <v>-</v>
      </c>
      <c r="B38" s="86" t="str">
        <f>IF(ISBLANK(Schedule1!B38),"",Schedule1!B38)</f>
        <v/>
      </c>
      <c r="C38" s="80"/>
      <c r="D38" s="79"/>
      <c r="E38" s="79"/>
      <c r="F38" s="87">
        <f>C38*IF(Units="US CUSTOMARY",100000,62200)*Rough</f>
        <v>0</v>
      </c>
      <c r="G38" s="76"/>
    </row>
    <row r="39" spans="1:7" ht="13.5" thickTop="1" x14ac:dyDescent="0.2">
      <c r="A39" s="10"/>
      <c r="B39" s="2"/>
      <c r="C39" s="17"/>
      <c r="D39" s="13"/>
      <c r="E39" s="13"/>
      <c r="F39" s="13"/>
    </row>
    <row r="40" spans="1:7" x14ac:dyDescent="0.2">
      <c r="A40" s="2"/>
      <c r="B40" s="2"/>
      <c r="C40" s="3"/>
      <c r="D40" s="4"/>
      <c r="E40" s="4"/>
      <c r="F40" s="4"/>
    </row>
    <row r="41" spans="1:7" x14ac:dyDescent="0.2">
      <c r="A41" s="211" t="s">
        <v>96</v>
      </c>
      <c r="B41" s="211"/>
      <c r="C41" s="211"/>
      <c r="D41" s="211"/>
      <c r="E41" s="211"/>
      <c r="F41" s="109">
        <f>SUM(F36:F38)</f>
        <v>0</v>
      </c>
    </row>
    <row r="42" spans="1:7" x14ac:dyDescent="0.15">
      <c r="A42" s="2"/>
      <c r="B42" s="2"/>
      <c r="C42" s="3"/>
      <c r="D42" s="4"/>
      <c r="E42" s="18"/>
      <c r="F42" s="19"/>
    </row>
    <row r="43" spans="1:7" ht="22.5" x14ac:dyDescent="0.15">
      <c r="A43" s="91" t="str">
        <f>IF(ISBLANK(Schedule1!A43),"",Schedule1!A43)</f>
        <v xml:space="preserve">Note 1: </v>
      </c>
      <c r="B43" s="92" t="str">
        <f>IF(ISBLANK(Schedule1!B43),"",Schedule1!B43)</f>
        <v>Q_t Unit Price = (Unit Price x 0.05)
Incentive Amt = (Quantity x Q_t Unit Price)</v>
      </c>
      <c r="C43" s="3"/>
      <c r="D43" s="4"/>
      <c r="E43" s="18"/>
      <c r="F43" s="19"/>
    </row>
    <row r="44" spans="1:7" x14ac:dyDescent="0.15">
      <c r="A44" s="22" t="str">
        <f>IF(ISBLANK(Schedule1!A44),"",Schedule1!A44)</f>
        <v/>
      </c>
      <c r="B44" s="22" t="str">
        <f>IF(ISBLANK(Schedule1!B44),"",Schedule1!B44)</f>
        <v/>
      </c>
      <c r="C44" s="3"/>
      <c r="D44" s="4"/>
      <c r="E44" s="18"/>
      <c r="F44" s="19"/>
    </row>
    <row r="45" spans="1:7" ht="22.5" x14ac:dyDescent="0.2">
      <c r="A45" s="91" t="str">
        <f>IF(ISBLANK(Schedule1!A45),"",Schedule1!A45)</f>
        <v xml:space="preserve">Note 2: </v>
      </c>
      <c r="B45" s="92" t="str">
        <f>IF(ISBLANK(Schedule1!B45),"",Schedule1!B45)</f>
        <v>Q_t Unit Price = (Unit Price x 0.06)
Incentive Amt = (Quantity x Q_t Unit Price)</v>
      </c>
      <c r="C45" s="3"/>
      <c r="D45" s="4"/>
      <c r="E45" s="4"/>
      <c r="F45" s="4"/>
    </row>
    <row r="46" spans="1:7" x14ac:dyDescent="0.2">
      <c r="A46" s="2" t="str">
        <f>IF(ISBLANK(Schedule1!A46),"",Schedule1!A46)</f>
        <v/>
      </c>
      <c r="B46" s="2" t="str">
        <f>IF(ISBLANK(Schedule1!B46),"",Schedule1!B46)</f>
        <v/>
      </c>
      <c r="C46" s="3"/>
      <c r="D46" s="4"/>
      <c r="E46" s="4"/>
      <c r="F46" s="4"/>
    </row>
    <row r="47" spans="1:7" ht="22.5" x14ac:dyDescent="0.2">
      <c r="A47" s="91" t="str">
        <f>IF(ISBLANK(Schedule1!A47),"",Schedule1!A47)</f>
        <v xml:space="preserve">Note 3: </v>
      </c>
      <c r="B47" s="92" t="str">
        <f>IF(ISBLANK(Schedule1!B47),"",Schedule1!B47)</f>
        <v>Q_t Unit Price = (Unit Price x 0.01)
Incentive Amt = (Quantity x Q_t Unit Price)</v>
      </c>
      <c r="C47" s="3"/>
      <c r="D47" s="4"/>
      <c r="E47" s="4"/>
      <c r="F47" s="4"/>
    </row>
    <row r="48" spans="1:7" x14ac:dyDescent="0.2">
      <c r="A48" s="22" t="str">
        <f>IF(ISBLANK(Schedule1!A48),"",Schedule1!A48)</f>
        <v/>
      </c>
      <c r="B48" s="22" t="str">
        <f>IF(ISBLANK(Schedule1!B48),"",Schedule1!B48)</f>
        <v/>
      </c>
      <c r="C48" s="3"/>
      <c r="D48" s="4"/>
      <c r="E48" s="4"/>
      <c r="F48" s="4"/>
    </row>
    <row r="49" spans="1:7" x14ac:dyDescent="0.2">
      <c r="A49" s="93" t="str">
        <f>IF(ISBLANK(Schedule1!A49),"",Schedule1!A49)</f>
        <v xml:space="preserve">Note 4: </v>
      </c>
      <c r="B49" s="153" t="str">
        <f>IF(ISBLANK(Schedule1!B49),"",Schedule1!B49)</f>
        <v>Incentive Amt = (Lane-miles x 100,000 x 0.05)</v>
      </c>
      <c r="C49" s="3"/>
      <c r="D49" s="4"/>
      <c r="E49" s="4"/>
      <c r="F49" s="4"/>
      <c r="G49" s="84"/>
    </row>
    <row r="50" spans="1:7" x14ac:dyDescent="0.2">
      <c r="A50" s="2"/>
      <c r="B50" s="2"/>
      <c r="C50" s="3"/>
      <c r="D50" s="4"/>
      <c r="E50" s="4"/>
      <c r="F50" s="4"/>
    </row>
    <row r="51" spans="1:7" x14ac:dyDescent="0.2">
      <c r="A51" s="2"/>
      <c r="B51" s="2"/>
      <c r="C51" s="3"/>
      <c r="D51" s="4"/>
      <c r="E51" s="4"/>
      <c r="F51" s="4"/>
    </row>
    <row r="52" spans="1:7" ht="18" customHeight="1" thickBot="1" x14ac:dyDescent="0.3">
      <c r="A52" s="200" t="s">
        <v>78</v>
      </c>
      <c r="B52" s="200"/>
      <c r="C52" s="200"/>
      <c r="D52" s="200"/>
      <c r="E52" s="200"/>
      <c r="F52" s="200"/>
    </row>
    <row r="53" spans="1:7" ht="14.25" thickTop="1" thickBot="1" x14ac:dyDescent="0.25">
      <c r="A53" s="70"/>
      <c r="B53" s="96" t="s">
        <v>94</v>
      </c>
      <c r="C53" s="98" t="str">
        <f>FP</f>
        <v>FP-14</v>
      </c>
      <c r="D53" s="73"/>
      <c r="E53" s="73"/>
      <c r="F53" s="73"/>
    </row>
    <row r="54" spans="1:7" ht="19.5" thickTop="1" thickBot="1" x14ac:dyDescent="0.25">
      <c r="A54" s="70"/>
      <c r="B54" s="70"/>
      <c r="C54" s="74"/>
      <c r="D54" s="73"/>
      <c r="E54" s="64" t="s">
        <v>1</v>
      </c>
      <c r="F54" s="65">
        <f ca="1">Date</f>
        <v>45469</v>
      </c>
      <c r="G54" s="76"/>
    </row>
    <row r="55" spans="1:7" ht="19.5" thickTop="1" thickBot="1" x14ac:dyDescent="0.25">
      <c r="A55" s="61" t="s">
        <v>0</v>
      </c>
      <c r="B55" s="103" t="str">
        <f>ProjNum</f>
        <v>WA WFL Test(1)</v>
      </c>
      <c r="C55" s="99"/>
      <c r="D55" s="100"/>
      <c r="E55" s="66" t="s">
        <v>3</v>
      </c>
      <c r="F55" s="98" t="str">
        <f>SchedType</f>
        <v>Base</v>
      </c>
      <c r="G55" s="76"/>
    </row>
    <row r="56" spans="1:7" ht="19.5" thickTop="1" thickBot="1" x14ac:dyDescent="0.25">
      <c r="A56" s="61" t="s">
        <v>2</v>
      </c>
      <c r="B56" s="201" t="str">
        <f>ProjName</f>
        <v>Wafflehead Park Road</v>
      </c>
      <c r="C56" s="201"/>
      <c r="D56" s="201"/>
      <c r="E56" s="66" t="s">
        <v>5</v>
      </c>
      <c r="F56" s="98" t="str">
        <f>SchedLet</f>
        <v>B</v>
      </c>
      <c r="G56" s="76"/>
    </row>
    <row r="57" spans="1:7" ht="19.5" thickTop="1" thickBot="1" x14ac:dyDescent="0.25">
      <c r="A57" s="61"/>
      <c r="B57" s="75"/>
      <c r="C57" s="75"/>
      <c r="D57" s="75"/>
      <c r="E57" s="64" t="s">
        <v>7</v>
      </c>
      <c r="F57" s="98" t="str">
        <f>Units</f>
        <v>US CUSTOMARY</v>
      </c>
      <c r="G57" s="76"/>
    </row>
    <row r="58" spans="1:7" ht="14.25" thickTop="1" thickBot="1" x14ac:dyDescent="0.25">
      <c r="A58" s="2"/>
      <c r="B58" s="2"/>
      <c r="C58" s="3"/>
      <c r="D58" s="4"/>
      <c r="E58" s="6"/>
      <c r="F58" s="5"/>
    </row>
    <row r="59" spans="1:7" ht="18.75" thickBot="1" x14ac:dyDescent="0.25">
      <c r="A59" s="41" t="s">
        <v>20</v>
      </c>
      <c r="B59" s="42"/>
      <c r="C59" s="42"/>
      <c r="D59" s="42"/>
      <c r="E59" s="42"/>
      <c r="F59" s="43"/>
      <c r="G59" s="76"/>
    </row>
    <row r="60" spans="1:7" x14ac:dyDescent="0.2">
      <c r="A60" s="7"/>
      <c r="B60" s="23"/>
      <c r="C60" s="24"/>
      <c r="D60" s="24"/>
      <c r="E60" s="24"/>
      <c r="F60" s="24"/>
    </row>
    <row r="61" spans="1:7" x14ac:dyDescent="0.2">
      <c r="A61" s="135" t="str">
        <f>IF(ISBLANK(Schedule1!A61),"",Schedule1!A61)</f>
        <v>Section 204 –</v>
      </c>
      <c r="B61" s="136" t="str">
        <f>IF(ISBLANK(Schedule1!B61),"",Schedule1!B61)</f>
        <v>Excavation and Embankment</v>
      </c>
      <c r="C61" s="137" t="s">
        <v>21</v>
      </c>
      <c r="D61" s="138" t="str">
        <f>IF(Units="US CUSTOMARY"," CUYD"," m3")</f>
        <v xml:space="preserve"> CUYD</v>
      </c>
      <c r="E61" s="139" t="s">
        <v>22</v>
      </c>
      <c r="F61" s="24"/>
    </row>
    <row r="62" spans="1:7" x14ac:dyDescent="0.2">
      <c r="A62" s="130">
        <f>IF(ISBLANK(Schedule1!A62),"",Schedule1!A62)</f>
        <v>20401</v>
      </c>
      <c r="B62" s="131" t="str">
        <f>IF(ISBLANK(Schedule1!B62),"",Schedule1!B62)</f>
        <v>Roadway exacation</v>
      </c>
      <c r="C62" s="209">
        <f>Fuel204a</f>
        <v>0.3</v>
      </c>
      <c r="D62" s="196"/>
      <c r="E62" s="129" t="str">
        <f>IF(ISNUMBER(D62),+C$62*D62, "-")</f>
        <v>-</v>
      </c>
      <c r="F62" s="13"/>
    </row>
    <row r="63" spans="1:7" x14ac:dyDescent="0.2">
      <c r="A63" s="130">
        <f>IF(ISBLANK(Schedule1!A63),"",Schedule1!A63)</f>
        <v>20402</v>
      </c>
      <c r="B63" s="131" t="str">
        <f>IF(ISBLANK(Schedule1!B63),"",Schedule1!B63)</f>
        <v>Subexacation</v>
      </c>
      <c r="C63" s="209"/>
      <c r="D63" s="196"/>
      <c r="E63" s="129" t="str">
        <f>IF(ISNUMBER(D63),+C$62*D63, "-")</f>
        <v>-</v>
      </c>
      <c r="F63" s="13"/>
    </row>
    <row r="64" spans="1:7" x14ac:dyDescent="0.2">
      <c r="A64" s="130">
        <f>IF(ISBLANK(Schedule1!A64),"",Schedule1!A64)</f>
        <v>20403</v>
      </c>
      <c r="B64" s="131" t="str">
        <f>IF(ISBLANK(Schedule1!B64),"",Schedule1!B64)</f>
        <v>Unclassified borrow</v>
      </c>
      <c r="C64" s="209"/>
      <c r="D64" s="196"/>
      <c r="E64" s="129" t="str">
        <f>IF(ISNUMBER(D64),+C$62*D64, "-")</f>
        <v>-</v>
      </c>
      <c r="F64" s="13"/>
    </row>
    <row r="65" spans="1:6" x14ac:dyDescent="0.2">
      <c r="A65" s="130">
        <f>IF(ISBLANK(Schedule1!A65),"",Schedule1!A65)</f>
        <v>20420</v>
      </c>
      <c r="B65" s="131" t="str">
        <f>IF(ISBLANK(Schedule1!B65),"",Schedule1!B65)</f>
        <v>Embankment construction</v>
      </c>
      <c r="C65" s="209"/>
      <c r="D65" s="196"/>
      <c r="E65" s="129" t="str">
        <f>IF(ISNUMBER(D65),+C$62*D65, "-")</f>
        <v>-</v>
      </c>
      <c r="F65" s="13"/>
    </row>
    <row r="66" spans="1:6" x14ac:dyDescent="0.2">
      <c r="A66" s="130">
        <f>IF(ISBLANK(Schedule1!A66),"",Schedule1!A66)</f>
        <v>20421</v>
      </c>
      <c r="B66" s="131" t="str">
        <f>IF(ISBLANK(Schedule1!B66),"",Schedule1!B66)</f>
        <v>Rock excavation</v>
      </c>
      <c r="C66" s="209"/>
      <c r="D66" s="196"/>
      <c r="E66" s="129" t="str">
        <f>IF(ISNUMBER(D66),+C$62*D66, "-")</f>
        <v>-</v>
      </c>
      <c r="F66" s="13"/>
    </row>
    <row r="67" spans="1:6" x14ac:dyDescent="0.2">
      <c r="A67" s="135" t="str">
        <f>IF(ISBLANK(Schedule1!A67),"",Schedule1!A67)</f>
        <v>Section 204 –</v>
      </c>
      <c r="B67" s="136" t="str">
        <f>IF(ISBLANK(Schedule1!B67),"",Schedule1!B67)</f>
        <v>Excavation and Embankment</v>
      </c>
      <c r="C67" s="137" t="s">
        <v>21</v>
      </c>
      <c r="D67" s="138" t="str">
        <f>IF(Units="US CUSTOMARY"," Tons"," tonnes")</f>
        <v xml:space="preserve"> Tons</v>
      </c>
      <c r="E67" s="139" t="s">
        <v>22</v>
      </c>
      <c r="F67" s="24"/>
    </row>
    <row r="68" spans="1:6" x14ac:dyDescent="0.2">
      <c r="A68" s="130">
        <f>IF(ISBLANK(Schedule1!A68),"",Schedule1!A68)</f>
        <v>20410</v>
      </c>
      <c r="B68" s="131" t="str">
        <f>IF(ISBLANK(Schedule1!B68),"",Schedule1!B68)</f>
        <v>Select borrow*</v>
      </c>
      <c r="C68" s="209">
        <f>Fuel204b</f>
        <v>0.7</v>
      </c>
      <c r="D68" s="196"/>
      <c r="E68" s="129" t="str">
        <f>IF(ISNUMBER(D68),+C$68*D68, "-")</f>
        <v>-</v>
      </c>
      <c r="F68" s="13"/>
    </row>
    <row r="69" spans="1:6" x14ac:dyDescent="0.2">
      <c r="A69" s="130">
        <f>IF(ISBLANK(Schedule1!A69),"",Schedule1!A69)</f>
        <v>20411</v>
      </c>
      <c r="B69" s="131" t="str">
        <f>IF(ISBLANK(Schedule1!B69),"",Schedule1!B69)</f>
        <v>Select borrow</v>
      </c>
      <c r="C69" s="209"/>
      <c r="D69" s="196"/>
      <c r="E69" s="129" t="str">
        <f>IF(ISNUMBER(D69),+C$68*D69, "-")</f>
        <v>-</v>
      </c>
      <c r="F69" s="13"/>
    </row>
    <row r="70" spans="1:6" x14ac:dyDescent="0.2">
      <c r="A70" s="130" t="str">
        <f>IF(ISBLANK(Schedule1!A70),"",Schedule1!A70)</f>
        <v xml:space="preserve"> 20415</v>
      </c>
      <c r="B70" s="131" t="str">
        <f>IF(ISBLANK(Schedule1!B70),"",Schedule1!B70)</f>
        <v>Select topping*</v>
      </c>
      <c r="C70" s="209"/>
      <c r="D70" s="196"/>
      <c r="E70" s="129" t="str">
        <f>IF(ISNUMBER(D70),+C$68*D70, "-")</f>
        <v>-</v>
      </c>
      <c r="F70" s="13"/>
    </row>
    <row r="71" spans="1:6" x14ac:dyDescent="0.2">
      <c r="A71" s="130" t="str">
        <f>IF(ISBLANK(Schedule1!A71),"",Schedule1!A71)</f>
        <v xml:space="preserve"> 20416</v>
      </c>
      <c r="B71" s="131" t="str">
        <f>IF(ISBLANK(Schedule1!B71),"",Schedule1!B71)</f>
        <v>Select topping</v>
      </c>
      <c r="C71" s="209"/>
      <c r="D71" s="196"/>
      <c r="E71" s="129" t="str">
        <f>IF(ISNUMBER(D71),+C$68*D71, "-")</f>
        <v>-</v>
      </c>
      <c r="F71" s="13"/>
    </row>
    <row r="72" spans="1:6" x14ac:dyDescent="0.2">
      <c r="A72" s="135" t="str">
        <f>IF(ISBLANK(Schedule1!A72),"",Schedule1!A72)</f>
        <v>Section 301 –</v>
      </c>
      <c r="B72" s="136" t="str">
        <f>IF(ISBLANK(Schedule1!B72),"",Schedule1!B72)</f>
        <v>Untreated Aggregate Courses</v>
      </c>
      <c r="C72" s="137" t="s">
        <v>21</v>
      </c>
      <c r="D72" s="138" t="str">
        <f>IF(Units="US CUSTOMARY"," Tons"," tonnes")</f>
        <v xml:space="preserve"> Tons</v>
      </c>
      <c r="E72" s="139" t="s">
        <v>22</v>
      </c>
      <c r="F72" s="13"/>
    </row>
    <row r="73" spans="1:6" x14ac:dyDescent="0.2">
      <c r="A73" s="130">
        <f>IF(ISBLANK(Schedule1!A73),"",Schedule1!A73)</f>
        <v>30101</v>
      </c>
      <c r="B73" s="131" t="str">
        <f>IF(ISBLANK(Schedule1!B73),"",Schedule1!B73)</f>
        <v>Aggregate base</v>
      </c>
      <c r="C73" s="209">
        <f>Fuel301</f>
        <v>0.7</v>
      </c>
      <c r="D73" s="196"/>
      <c r="E73" s="129" t="str">
        <f t="shared" ref="E73:E80" si="3">IF(ISNUMBER(D73),+C$73*D73, "-")</f>
        <v>-</v>
      </c>
      <c r="F73" s="13"/>
    </row>
    <row r="74" spans="1:6" x14ac:dyDescent="0.2">
      <c r="A74" s="130">
        <f>IF(ISBLANK(Schedule1!A74),"",Schedule1!A74)</f>
        <v>30102</v>
      </c>
      <c r="B74" s="131" t="str">
        <f>IF(ISBLANK(Schedule1!B74),"",Schedule1!B74)</f>
        <v>Aggregate base*</v>
      </c>
      <c r="C74" s="209"/>
      <c r="D74" s="196"/>
      <c r="E74" s="129" t="str">
        <f t="shared" si="3"/>
        <v>-</v>
      </c>
      <c r="F74" s="13"/>
    </row>
    <row r="75" spans="1:6" x14ac:dyDescent="0.2">
      <c r="A75" s="130">
        <f>IF(ISBLANK(Schedule1!A75),"",Schedule1!A75)</f>
        <v>30103</v>
      </c>
      <c r="B75" s="131" t="str">
        <f>IF(ISBLANK(Schedule1!B75),"",Schedule1!B75)</f>
        <v>Aggregate base*</v>
      </c>
      <c r="C75" s="209"/>
      <c r="D75" s="196"/>
      <c r="E75" s="129" t="str">
        <f t="shared" si="3"/>
        <v>-</v>
      </c>
      <c r="F75" s="13"/>
    </row>
    <row r="76" spans="1:6" x14ac:dyDescent="0.2">
      <c r="A76" s="130">
        <f>IF(ISBLANK(Schedule1!A76),"",Schedule1!A76)</f>
        <v>30105</v>
      </c>
      <c r="B76" s="131" t="str">
        <f>IF(ISBLANK(Schedule1!B76),"",Schedule1!B76)</f>
        <v>Subbase</v>
      </c>
      <c r="C76" s="209"/>
      <c r="D76" s="196"/>
      <c r="E76" s="129" t="str">
        <f t="shared" si="3"/>
        <v>-</v>
      </c>
      <c r="F76" s="13"/>
    </row>
    <row r="77" spans="1:6" x14ac:dyDescent="0.2">
      <c r="A77" s="130">
        <f>IF(ISBLANK(Schedule1!A77),"",Schedule1!A77)</f>
        <v>30106</v>
      </c>
      <c r="B77" s="131" t="str">
        <f>IF(ISBLANK(Schedule1!B77),"",Schedule1!B77)</f>
        <v>Subbase*</v>
      </c>
      <c r="C77" s="209"/>
      <c r="D77" s="196"/>
      <c r="E77" s="129" t="str">
        <f t="shared" si="3"/>
        <v>-</v>
      </c>
      <c r="F77" s="13"/>
    </row>
    <row r="78" spans="1:6" x14ac:dyDescent="0.2">
      <c r="A78" s="130">
        <f>IF(ISBLANK(Schedule1!A78),"",Schedule1!A78)</f>
        <v>30107</v>
      </c>
      <c r="B78" s="131" t="str">
        <f>IF(ISBLANK(Schedule1!B78),"",Schedule1!B78)</f>
        <v>Subbase*</v>
      </c>
      <c r="C78" s="209"/>
      <c r="D78" s="196"/>
      <c r="E78" s="129" t="str">
        <f t="shared" si="3"/>
        <v>-</v>
      </c>
      <c r="F78" s="13"/>
    </row>
    <row r="79" spans="1:6" x14ac:dyDescent="0.2">
      <c r="A79" s="130">
        <f>IF(ISBLANK(Schedule1!A79),"",Schedule1!A79)</f>
        <v>30110</v>
      </c>
      <c r="B79" s="131" t="str">
        <f>IF(ISBLANK(Schedule1!B79),"",Schedule1!B79)</f>
        <v>Aggregate surface course</v>
      </c>
      <c r="C79" s="209"/>
      <c r="D79" s="196"/>
      <c r="E79" s="129" t="str">
        <f t="shared" si="3"/>
        <v>-</v>
      </c>
      <c r="F79" s="13"/>
    </row>
    <row r="80" spans="1:6" x14ac:dyDescent="0.2">
      <c r="A80" s="130">
        <f>IF(ISBLANK(Schedule1!A80),"",Schedule1!A80)</f>
        <v>30111</v>
      </c>
      <c r="B80" s="131" t="str">
        <f>IF(ISBLANK(Schedule1!B80),"",Schedule1!B80)</f>
        <v>Aggregate surface course*</v>
      </c>
      <c r="C80" s="209"/>
      <c r="D80" s="196"/>
      <c r="E80" s="129" t="str">
        <f t="shared" si="3"/>
        <v>-</v>
      </c>
      <c r="F80" s="13"/>
    </row>
    <row r="81" spans="1:6" x14ac:dyDescent="0.2">
      <c r="A81" s="125" t="str">
        <f>IF(ISBLANK(Schedule1!A81),"",Schedule1!A81)</f>
        <v>Section 302 –</v>
      </c>
      <c r="B81" s="140" t="str">
        <f>IF(ISBLANK(Schedule1!B81),"",Schedule1!B81)</f>
        <v>Minor Aggregate</v>
      </c>
      <c r="C81" s="107" t="s">
        <v>21</v>
      </c>
      <c r="D81" s="141" t="str">
        <f>IF(Units="US CUSTOMARY"," Tons"," tonnes")</f>
        <v xml:space="preserve"> Tons</v>
      </c>
      <c r="E81" s="142" t="s">
        <v>22</v>
      </c>
      <c r="F81" s="13"/>
    </row>
    <row r="82" spans="1:6" x14ac:dyDescent="0.2">
      <c r="A82" s="132">
        <f>IF(ISBLANK(Schedule1!A82),"",Schedule1!A82)</f>
        <v>30201</v>
      </c>
      <c r="B82" s="104" t="str">
        <f>IF(ISBLANK(Schedule1!B82),"",Schedule1!B82)</f>
        <v>Roadway Aggregate</v>
      </c>
      <c r="C82" s="202">
        <f>Fuel302</f>
        <v>0.7</v>
      </c>
      <c r="D82" s="32"/>
      <c r="E82" s="108" t="str">
        <f>IF(ISNUMBER(D82),+C$82*D82, "-")</f>
        <v>-</v>
      </c>
      <c r="F82" s="13"/>
    </row>
    <row r="83" spans="1:6" x14ac:dyDescent="0.2">
      <c r="A83" s="132">
        <f>IF(ISBLANK(Schedule1!A83),"",Schedule1!A83)</f>
        <v>30202</v>
      </c>
      <c r="B83" s="104" t="str">
        <f>IF(ISBLANK(Schedule1!B83),"",Schedule1!B83)</f>
        <v>Roadway Aggregate*</v>
      </c>
      <c r="C83" s="202"/>
      <c r="D83" s="32"/>
      <c r="E83" s="108" t="str">
        <f>IF(ISNUMBER(D83),+C$82*D83, "-")</f>
        <v>-</v>
      </c>
      <c r="F83" s="13"/>
    </row>
    <row r="84" spans="1:6" x14ac:dyDescent="0.2">
      <c r="A84" s="134" t="str">
        <f>IF(ISBLANK(Schedule1!A84),"",Schedule1!A84)</f>
        <v>Section 308 –</v>
      </c>
      <c r="B84" s="140" t="str">
        <f>IF(ISBLANK(Schedule1!B84),"",Schedule1!B84)</f>
        <v>Recycled Aggregate Base</v>
      </c>
      <c r="C84" s="107" t="s">
        <v>21</v>
      </c>
      <c r="D84" s="143" t="str">
        <f>IF(Units="US CUSTOMARY"," SQYD","m2")</f>
        <v xml:space="preserve"> SQYD</v>
      </c>
      <c r="E84" s="144" t="s">
        <v>22</v>
      </c>
      <c r="F84" s="13"/>
    </row>
    <row r="85" spans="1:6" x14ac:dyDescent="0.2">
      <c r="A85" s="133" t="str">
        <f>IF(ISBLANK(Schedule1!A85),"",Schedule1!A85)</f>
        <v>30801</v>
      </c>
      <c r="B85" s="104" t="str">
        <f>IF(ISBLANK(Schedule1!B85),"",Schedule1!B85)</f>
        <v>Recycled aggregate base</v>
      </c>
      <c r="C85" s="204">
        <f>Fuel308</f>
        <v>0.1</v>
      </c>
      <c r="D85" s="34"/>
      <c r="E85" s="108" t="str">
        <f>IF(ISNUMBER(D85),+C$85*D85, "-")</f>
        <v>-</v>
      </c>
      <c r="F85" s="13"/>
    </row>
    <row r="86" spans="1:6" x14ac:dyDescent="0.2">
      <c r="A86" s="133" t="str">
        <f>IF(ISBLANK(Schedule1!A86),"",Schedule1!A86)</f>
        <v>30802</v>
      </c>
      <c r="B86" s="104" t="str">
        <f>IF(ISBLANK(Schedule1!B86),"",Schedule1!B86)</f>
        <v>Recycled aggregate base*</v>
      </c>
      <c r="C86" s="202"/>
      <c r="D86" s="34"/>
      <c r="E86" s="108" t="str">
        <f>IF(ISNUMBER(D86),+C$85*D86, "-")</f>
        <v>-</v>
      </c>
      <c r="F86" s="13"/>
    </row>
    <row r="87" spans="1:6" x14ac:dyDescent="0.2">
      <c r="A87" s="133" t="str">
        <f>IF(ISBLANK(Schedule1!A87),"",Schedule1!A87)</f>
        <v>30803</v>
      </c>
      <c r="B87" s="104" t="str">
        <f>IF(ISBLANK(Schedule1!B87),"",Schedule1!B87)</f>
        <v>Recycled aggregate base*</v>
      </c>
      <c r="C87" s="202"/>
      <c r="D87" s="34"/>
      <c r="E87" s="108" t="str">
        <f>IF(ISNUMBER(D87),+C$85*D87, "-")</f>
        <v>-</v>
      </c>
      <c r="F87" s="13"/>
    </row>
    <row r="88" spans="1:6" x14ac:dyDescent="0.2">
      <c r="A88" s="134" t="str">
        <f>IF(ISBLANK(Schedule1!A88),"",Schedule1!A88)</f>
        <v>Section 309 –</v>
      </c>
      <c r="B88" s="140" t="str">
        <f>IF(ISBLANK(Schedule1!B88),"",Schedule1!B88)</f>
        <v>Emulsified Asphalt Treated Base Course</v>
      </c>
      <c r="C88" s="107" t="s">
        <v>21</v>
      </c>
      <c r="D88" s="143" t="str">
        <f>IF(Units="US CUSTOMARY"," Tons","tonnes")</f>
        <v xml:space="preserve"> Tons</v>
      </c>
      <c r="E88" s="144" t="s">
        <v>22</v>
      </c>
      <c r="F88" s="13"/>
    </row>
    <row r="89" spans="1:6" x14ac:dyDescent="0.2">
      <c r="A89" s="133">
        <f>IF(ISBLANK(Schedule1!A89),"",Schedule1!A89)</f>
        <v>30901</v>
      </c>
      <c r="B89" s="104" t="str">
        <f>IF(ISBLANK(Schedule1!B89),"",Schedule1!B89)</f>
        <v>Emulsified asphalt treated aggregate base</v>
      </c>
      <c r="C89" s="204">
        <f>Fuel309</f>
        <v>0.7</v>
      </c>
      <c r="D89" s="34"/>
      <c r="E89" s="108" t="str">
        <f>IF(ISNUMBER(D89),+C$89*D89, "-")</f>
        <v>-</v>
      </c>
      <c r="F89" s="13"/>
    </row>
    <row r="90" spans="1:6" x14ac:dyDescent="0.2">
      <c r="A90" s="133">
        <f>IF(ISBLANK(Schedule1!A90),"",Schedule1!A90)</f>
        <v>30902</v>
      </c>
      <c r="B90" s="104" t="str">
        <f>IF(ISBLANK(Schedule1!B90),"",Schedule1!B90)</f>
        <v>Emulsified asphalt treated aggregate base*</v>
      </c>
      <c r="C90" s="202"/>
      <c r="D90" s="34"/>
      <c r="E90" s="108" t="str">
        <f>IF(ISNUMBER(D90),+C$89*D90, "-")</f>
        <v>-</v>
      </c>
      <c r="F90" s="13"/>
    </row>
    <row r="91" spans="1:6" x14ac:dyDescent="0.2">
      <c r="A91" s="133">
        <f>IF(ISBLANK(Schedule1!A91),"",Schedule1!A91)</f>
        <v>30903</v>
      </c>
      <c r="B91" s="104" t="str">
        <f>IF(ISBLANK(Schedule1!B91),"",Schedule1!B91)</f>
        <v>Emulsified asphalt treated aggregate base*</v>
      </c>
      <c r="C91" s="202"/>
      <c r="D91" s="34"/>
      <c r="E91" s="108" t="str">
        <f>IF(ISNUMBER(D91),+C$89*D91, "-")</f>
        <v>-</v>
      </c>
      <c r="F91" s="13"/>
    </row>
    <row r="92" spans="1:6" x14ac:dyDescent="0.2">
      <c r="A92" s="134" t="str">
        <f>IF(ISBLANK(Schedule1!A92),"",Schedule1!A92)</f>
        <v>Section 310 –</v>
      </c>
      <c r="B92" s="140" t="str">
        <f>IF(ISBLANK(Schedule1!B92),"",Schedule1!B92)</f>
        <v>Cold In-Place (CIP) Recycled Asphalt Base</v>
      </c>
      <c r="C92" s="107" t="s">
        <v>21</v>
      </c>
      <c r="D92" s="143" t="str">
        <f>IF(Units="US CUSTOMARY"," SQYD","m2")</f>
        <v xml:space="preserve"> SQYD</v>
      </c>
      <c r="E92" s="144" t="s">
        <v>22</v>
      </c>
      <c r="F92" s="13"/>
    </row>
    <row r="93" spans="1:6" x14ac:dyDescent="0.2">
      <c r="A93" s="133">
        <f>IF(ISBLANK(Schedule1!A93),"",Schedule1!A93)</f>
        <v>31001</v>
      </c>
      <c r="B93" s="104" t="str">
        <f>IF(ISBLANK(Schedule1!B93),"",Schedule1!B93)</f>
        <v>CIP recycled ashalt base*</v>
      </c>
      <c r="C93" s="202">
        <f>Fuel310</f>
        <v>0.15</v>
      </c>
      <c r="D93" s="34"/>
      <c r="E93" s="108" t="str">
        <f>IF(ISNUMBER(D93),+C$93*D93, "-")</f>
        <v>-</v>
      </c>
      <c r="F93" s="13"/>
    </row>
    <row r="94" spans="1:6" x14ac:dyDescent="0.2">
      <c r="A94" s="133">
        <f>IF(ISBLANK(Schedule1!A94),"",Schedule1!A94)</f>
        <v>31002</v>
      </c>
      <c r="B94" s="55" t="str">
        <f>IF(ISBLANK(Schedule1!B94),"",Schedule1!B94)</f>
        <v>CIP recycled ashalt base</v>
      </c>
      <c r="C94" s="202"/>
      <c r="D94" s="34"/>
      <c r="E94" s="108" t="str">
        <f>IF(ISNUMBER(D94),+C$93*D94, "-")</f>
        <v>-</v>
      </c>
      <c r="F94" s="13"/>
    </row>
    <row r="95" spans="1:6" x14ac:dyDescent="0.2">
      <c r="A95" s="134" t="str">
        <f>IF(ISBLANK(Schedule1!A95),"",Schedule1!A95)</f>
        <v>Section 311 –</v>
      </c>
      <c r="B95" s="140" t="str">
        <f>IF(ISBLANK(Schedule1!B95),"",Schedule1!B95)</f>
        <v>Stabilized Aggregate Base Course</v>
      </c>
      <c r="C95" s="107" t="s">
        <v>21</v>
      </c>
      <c r="D95" s="143" t="str">
        <f>IF(Units="US CUSTOMARY"," Tons"," tonnes")</f>
        <v xml:space="preserve"> Tons</v>
      </c>
      <c r="E95" s="144" t="s">
        <v>22</v>
      </c>
      <c r="F95" s="13"/>
    </row>
    <row r="96" spans="1:6" ht="22.5" x14ac:dyDescent="0.2">
      <c r="A96" s="133" t="str">
        <f>IF(ISBLANK(Schedule1!A96),"",Schedule1!A96)</f>
        <v>31101</v>
      </c>
      <c r="B96" s="55" t="str">
        <f>IF(ISBLANK(Schedule1!B96),"",Schedule1!B96)</f>
        <v>Stabilized aggregate surface course*,imported aggregate*</v>
      </c>
      <c r="C96" s="197">
        <f>Fuel311</f>
        <v>0.7</v>
      </c>
      <c r="D96" s="34"/>
      <c r="E96" s="108" t="str">
        <f>IF(ISNUMBER(D96),+C$96*D96, "-")</f>
        <v>-</v>
      </c>
      <c r="F96" s="13"/>
    </row>
    <row r="97" spans="1:6" ht="22.5" x14ac:dyDescent="0.2">
      <c r="A97" s="133">
        <f>IF(ISBLANK(Schedule1!A97),"",Schedule1!A97)</f>
        <v>31101</v>
      </c>
      <c r="B97" s="55" t="str">
        <f>IF(ISBLANK(Schedule1!B97),"",Schedule1!B97)</f>
        <v>Stabilized aggregate surface course*,in-place aggregate*</v>
      </c>
      <c r="C97" s="197"/>
      <c r="D97" s="34"/>
      <c r="E97" s="108" t="str">
        <f>IF(ISNUMBER(D97),+C$96*D97, "-")</f>
        <v>-</v>
      </c>
      <c r="F97" s="13"/>
    </row>
    <row r="98" spans="1:6" ht="22.5" x14ac:dyDescent="0.2">
      <c r="A98" s="133" t="str">
        <f>IF(ISBLANK(Schedule1!A98),"",Schedule1!A98)</f>
        <v>31102</v>
      </c>
      <c r="B98" s="55" t="str">
        <f>IF(ISBLANK(Schedule1!B98),"",Schedule1!B98)</f>
        <v>Stabilized aggregate surface course*,imported aggregate*</v>
      </c>
      <c r="C98" s="197"/>
      <c r="D98" s="34"/>
      <c r="E98" s="108" t="str">
        <f>IF(ISNUMBER(D98),+C$96*D98, "-")</f>
        <v>-</v>
      </c>
      <c r="F98" s="13"/>
    </row>
    <row r="99" spans="1:6" ht="22.5" x14ac:dyDescent="0.2">
      <c r="A99" s="133">
        <f>IF(ISBLANK(Schedule1!A99),"",Schedule1!A99)</f>
        <v>31102</v>
      </c>
      <c r="B99" s="55" t="str">
        <f>IF(ISBLANK(Schedule1!B99),"",Schedule1!B99)</f>
        <v>Stabilized aggregate surface course*,in-place aggregate*</v>
      </c>
      <c r="C99" s="197"/>
      <c r="D99" s="34"/>
      <c r="E99" s="108" t="str">
        <f>IF(ISNUMBER(D99),+C$96*D99, "-")</f>
        <v>-</v>
      </c>
      <c r="F99" s="13"/>
    </row>
    <row r="100" spans="1:6" x14ac:dyDescent="0.2">
      <c r="A100" s="133" t="str">
        <f>IF(ISBLANK(Schedule1!A100),"",Schedule1!A100)</f>
        <v>31103</v>
      </c>
      <c r="B100" s="55" t="str">
        <f>IF(ISBLANK(Schedule1!B100),"",Schedule1!B100)</f>
        <v>Stabilized aggregate surface course*</v>
      </c>
      <c r="C100" s="203"/>
      <c r="D100" s="34"/>
      <c r="E100" s="108" t="str">
        <f>IF(ISNUMBER(D100),+C$96*D100, "-")</f>
        <v>-</v>
      </c>
      <c r="F100" s="13"/>
    </row>
    <row r="101" spans="1:6" x14ac:dyDescent="0.2">
      <c r="A101" s="134" t="str">
        <f>IF(ISBLANK(Schedule1!A101),"",Schedule1!A101)</f>
        <v>Section 401 –</v>
      </c>
      <c r="B101" s="140" t="str">
        <f>IF(ISBLANK(Schedule1!B101),"",Schedule1!B101)</f>
        <v>ACP by Gyratory Mix Design Method</v>
      </c>
      <c r="C101" s="126" t="s">
        <v>21</v>
      </c>
      <c r="D101" s="128" t="str">
        <f>IF(Units="US CUSTOMARY"," Tons"," tonnes")</f>
        <v xml:space="preserve"> Tons</v>
      </c>
      <c r="E101" s="127" t="s">
        <v>22</v>
      </c>
      <c r="F101" s="13"/>
    </row>
    <row r="102" spans="1:6" x14ac:dyDescent="0.2">
      <c r="A102" s="133" t="str">
        <f>IF(ISBLANK(Schedule1!A102),"",Schedule1!A102)</f>
        <v>40101</v>
      </c>
      <c r="B102" s="104" t="str">
        <f>IF(ISBLANK(Schedule1!B102),"",Schedule1!B102)</f>
        <v>Asphalt concrete pavement, gyratory mix</v>
      </c>
      <c r="C102" s="197">
        <f>Fuel401</f>
        <v>2.4</v>
      </c>
      <c r="D102" s="34"/>
      <c r="E102" s="105" t="str">
        <f>IF(ISNUMBER(D102),+C$102*D102, "-")</f>
        <v>-</v>
      </c>
      <c r="F102" s="13"/>
    </row>
    <row r="103" spans="1:6" ht="22.5" x14ac:dyDescent="0.2">
      <c r="A103" s="133" t="str">
        <f>IF(ISBLANK(Schedule1!A103),"",Schedule1!A103)</f>
        <v>40102</v>
      </c>
      <c r="B103" s="55" t="str">
        <f>IF(ISBLANK(Schedule1!B103),"",Schedule1!B103)</f>
        <v>Asphalt concrete pavement, gyratory mix, wedged and leveling</v>
      </c>
      <c r="C103" s="197"/>
      <c r="D103" s="34"/>
      <c r="E103" s="105" t="str">
        <f>IF(ISNUMBER(D103),+C$102*D103, "-")</f>
        <v>-</v>
      </c>
      <c r="F103" s="13"/>
    </row>
    <row r="104" spans="1:6" ht="24" x14ac:dyDescent="0.2">
      <c r="A104" s="145" t="str">
        <f>IF(ISBLANK(Schedule1!A104),"",Schedule1!A104)</f>
        <v>Section 402 –</v>
      </c>
      <c r="B104" s="147" t="str">
        <f>IF(ISBLANK(Schedule1!B104),"",Schedule1!B104)</f>
        <v>ACP by Hveem or Marshall Mix Design Method</v>
      </c>
      <c r="C104" s="33" t="s">
        <v>21</v>
      </c>
      <c r="D104" s="143" t="str">
        <f>IF(Units="US CUSTOMARY"," Tons"," tonnes")</f>
        <v xml:space="preserve"> Tons</v>
      </c>
      <c r="E104" s="146" t="s">
        <v>22</v>
      </c>
      <c r="F104" s="13"/>
    </row>
    <row r="105" spans="1:6" x14ac:dyDescent="0.2">
      <c r="A105" s="133" t="str">
        <f>IF(ISBLANK(Schedule1!A105),"",Schedule1!A105)</f>
        <v>40201</v>
      </c>
      <c r="B105" s="104" t="str">
        <f>IF(ISBLANK(Schedule1!B105),"",Schedule1!B105)</f>
        <v>ACP Hveem or Marshall Mix Design Method</v>
      </c>
      <c r="C105" s="197">
        <f>Fuel402</f>
        <v>2.4</v>
      </c>
      <c r="D105" s="34"/>
      <c r="E105" s="105" t="str">
        <f>IF(ISNUMBER(D105),+C$105*D105, "-")</f>
        <v>-</v>
      </c>
      <c r="F105" s="13"/>
    </row>
    <row r="106" spans="1:6" ht="22.5" x14ac:dyDescent="0.2">
      <c r="A106" s="133" t="str">
        <f>IF(ISBLANK(Schedule1!A106),"",Schedule1!A106)</f>
        <v>40202</v>
      </c>
      <c r="B106" s="55" t="str">
        <f>IF(ISBLANK(Schedule1!B106),"",Schedule1!B106)</f>
        <v>ACP Hveen or Marshall Mix, wedge and leveling course</v>
      </c>
      <c r="C106" s="197"/>
      <c r="D106" s="34"/>
      <c r="E106" s="105" t="str">
        <f>IF(ISNUMBER(D106),+C$105*D106, "-")</f>
        <v>-</v>
      </c>
      <c r="F106" s="13"/>
    </row>
    <row r="107" spans="1:6" x14ac:dyDescent="0.2">
      <c r="A107" s="145" t="str">
        <f>IF(ISBLANK(Schedule1!A107),"",Schedule1!A107)</f>
        <v>Section 403 –</v>
      </c>
      <c r="B107" s="147" t="str">
        <f>IF(ISBLANK(Schedule1!B107),"",Schedule1!B107)</f>
        <v>Asphalt Concrete</v>
      </c>
      <c r="C107" s="33" t="s">
        <v>21</v>
      </c>
      <c r="D107" s="143" t="str">
        <f>IF(Units="US CUSTOMARY"," Tons"," tonnes")</f>
        <v xml:space="preserve"> Tons</v>
      </c>
      <c r="E107" s="146" t="s">
        <v>22</v>
      </c>
      <c r="F107" s="13"/>
    </row>
    <row r="108" spans="1:6" x14ac:dyDescent="0.2">
      <c r="A108" s="133">
        <f>IF(ISBLANK(Schedule1!A108),"",Schedule1!A108)</f>
        <v>40301</v>
      </c>
      <c r="B108" s="104" t="str">
        <f>IF(ISBLANK(Schedule1!B108),"",Schedule1!B108)</f>
        <v>Asphalt concrete pavement</v>
      </c>
      <c r="C108" s="197">
        <f>Fuel403</f>
        <v>2.4</v>
      </c>
      <c r="D108" s="34"/>
      <c r="E108" s="105" t="str">
        <f>IF(ISNUMBER(D108),+C$108*D108, "-")</f>
        <v>-</v>
      </c>
      <c r="F108" s="13"/>
    </row>
    <row r="109" spans="1:6" x14ac:dyDescent="0.2">
      <c r="A109" s="133">
        <f>IF(ISBLANK(Schedule1!A109),"",Schedule1!A109)</f>
        <v>40302</v>
      </c>
      <c r="B109" s="104" t="str">
        <f>IF(ISBLANK(Schedule1!B109),"",Schedule1!B109)</f>
        <v>Asphalt concrete pavement*</v>
      </c>
      <c r="C109" s="197"/>
      <c r="D109" s="34"/>
      <c r="E109" s="105" t="str">
        <f>IF(ISNUMBER(D109),+C$108*D109, "-")</f>
        <v>-</v>
      </c>
      <c r="F109" s="13"/>
    </row>
    <row r="110" spans="1:6" ht="22.5" x14ac:dyDescent="0.2">
      <c r="A110" s="133">
        <f>IF(ISBLANK(Schedule1!A110),"",Schedule1!A110)</f>
        <v>40303</v>
      </c>
      <c r="B110" s="55" t="str">
        <f>IF(ISBLANK(Schedule1!B110),"",Schedule1!B110)</f>
        <v>Asphalt concrete pavement, wedge and leveling course</v>
      </c>
      <c r="C110" s="197"/>
      <c r="D110" s="34"/>
      <c r="E110" s="105" t="str">
        <f>IF(ISNUMBER(D110),+C$108*D110, "-")</f>
        <v>-</v>
      </c>
      <c r="F110" s="13"/>
    </row>
    <row r="111" spans="1:6" ht="12.75" customHeight="1" x14ac:dyDescent="0.2">
      <c r="A111" s="101"/>
      <c r="B111" s="35"/>
      <c r="C111" s="49"/>
      <c r="D111" s="46"/>
      <c r="E111" s="24"/>
      <c r="F111" s="24"/>
    </row>
    <row r="112" spans="1:6" ht="18.75" thickBot="1" x14ac:dyDescent="0.3">
      <c r="A112" s="200" t="s">
        <v>78</v>
      </c>
      <c r="B112" s="200"/>
      <c r="C112" s="200"/>
      <c r="D112" s="200"/>
      <c r="E112" s="200"/>
      <c r="F112" s="200"/>
    </row>
    <row r="113" spans="1:6" ht="14.25" thickTop="1" thickBot="1" x14ac:dyDescent="0.25">
      <c r="A113" s="70"/>
      <c r="B113" s="96" t="s">
        <v>94</v>
      </c>
      <c r="C113" s="98" t="str">
        <f>FP</f>
        <v>FP-14</v>
      </c>
      <c r="D113" s="73"/>
      <c r="E113" s="73"/>
      <c r="F113" s="73"/>
    </row>
    <row r="114" spans="1:6" ht="14.25" thickTop="1" thickBot="1" x14ac:dyDescent="0.25">
      <c r="A114" s="70"/>
      <c r="B114" s="70"/>
      <c r="C114" s="74"/>
      <c r="D114" s="73"/>
      <c r="E114" s="64" t="s">
        <v>1</v>
      </c>
      <c r="F114" s="65">
        <f ca="1">Date</f>
        <v>45469</v>
      </c>
    </row>
    <row r="115" spans="1:6" ht="14.25" thickTop="1" thickBot="1" x14ac:dyDescent="0.25">
      <c r="A115" s="61" t="s">
        <v>0</v>
      </c>
      <c r="B115" s="103" t="str">
        <f>ProjNum</f>
        <v>WA WFL Test(1)</v>
      </c>
      <c r="C115" s="99"/>
      <c r="D115" s="100"/>
      <c r="E115" s="66" t="s">
        <v>3</v>
      </c>
      <c r="F115" s="98" t="str">
        <f>SchedType</f>
        <v>Base</v>
      </c>
    </row>
    <row r="116" spans="1:6" ht="14.25" thickTop="1" thickBot="1" x14ac:dyDescent="0.25">
      <c r="A116" s="61" t="s">
        <v>2</v>
      </c>
      <c r="B116" s="201" t="str">
        <f>ProjName</f>
        <v>Wafflehead Park Road</v>
      </c>
      <c r="C116" s="201"/>
      <c r="D116" s="201"/>
      <c r="E116" s="66" t="s">
        <v>5</v>
      </c>
      <c r="F116" s="98" t="str">
        <f>SchedLet</f>
        <v>B</v>
      </c>
    </row>
    <row r="117" spans="1:6" ht="14.25" thickTop="1" thickBot="1" x14ac:dyDescent="0.25">
      <c r="A117" s="61"/>
      <c r="B117" s="75"/>
      <c r="C117" s="75"/>
      <c r="D117" s="75"/>
      <c r="E117" s="64" t="s">
        <v>7</v>
      </c>
      <c r="F117" s="98" t="str">
        <f>Units</f>
        <v>US CUSTOMARY</v>
      </c>
    </row>
    <row r="118" spans="1:6" ht="14.25" thickTop="1" thickBot="1" x14ac:dyDescent="0.25">
      <c r="A118" s="2"/>
      <c r="B118" s="2"/>
      <c r="C118" s="3"/>
      <c r="D118" s="4"/>
      <c r="E118" s="6"/>
      <c r="F118" s="5"/>
    </row>
    <row r="119" spans="1:6" ht="19.5" customHeight="1" thickBot="1" x14ac:dyDescent="0.25">
      <c r="A119" s="41" t="s">
        <v>45</v>
      </c>
      <c r="B119" s="42"/>
      <c r="C119" s="42"/>
      <c r="D119" s="42"/>
      <c r="E119" s="42"/>
      <c r="F119" s="43"/>
    </row>
    <row r="120" spans="1:6" x14ac:dyDescent="0.2">
      <c r="A120" s="7"/>
      <c r="B120" s="23"/>
      <c r="C120" s="24"/>
      <c r="D120" s="24"/>
      <c r="E120" s="24"/>
      <c r="F120" s="24"/>
    </row>
    <row r="121" spans="1:6" ht="15" customHeight="1" x14ac:dyDescent="0.2">
      <c r="A121" s="145" t="str">
        <f>IF(ISBLANK(Schedule1!A121),"",Schedule1!A121)</f>
        <v>Section 404 –</v>
      </c>
      <c r="B121" s="147" t="str">
        <f>IF(ISBLANK(Schedule1!B121),"",Schedule1!B121)</f>
        <v>RESERVED</v>
      </c>
      <c r="C121" s="33" t="s">
        <v>21</v>
      </c>
      <c r="D121" s="143" t="str">
        <f>IF(Units="US CUSTOMARY"," Tons"," tonnes")</f>
        <v xml:space="preserve"> Tons</v>
      </c>
      <c r="E121" s="146" t="s">
        <v>22</v>
      </c>
      <c r="F121" s="24"/>
    </row>
    <row r="122" spans="1:6" x14ac:dyDescent="0.2">
      <c r="A122" s="33" t="str">
        <f>IF(ISBLANK(Schedule1!A122),"",Schedule1!A122)</f>
        <v>-</v>
      </c>
      <c r="B122" s="104" t="str">
        <f>IF(ISBLANK(Schedule1!B122),"",Schedule1!B122)</f>
        <v>-</v>
      </c>
      <c r="C122" s="198">
        <f>Fuel404</f>
        <v>2.4</v>
      </c>
      <c r="D122" s="34"/>
      <c r="E122" s="105" t="str">
        <f>IF(ISNUMBER(D122),+C$122*D122, "-")</f>
        <v>-</v>
      </c>
      <c r="F122" s="24"/>
    </row>
    <row r="123" spans="1:6" x14ac:dyDescent="0.2">
      <c r="A123" s="33" t="str">
        <f>IF(ISBLANK(Schedule1!A123),"",Schedule1!A123)</f>
        <v>-</v>
      </c>
      <c r="B123" s="104" t="str">
        <f>IF(ISBLANK(Schedule1!B123),"",Schedule1!B123)</f>
        <v>-</v>
      </c>
      <c r="C123" s="199"/>
      <c r="D123" s="34"/>
      <c r="E123" s="105" t="str">
        <f>IF(ISNUMBER(D123),+C$122*D123, "-")</f>
        <v>-</v>
      </c>
      <c r="F123" s="24"/>
    </row>
    <row r="124" spans="1:6" ht="15" customHeight="1" x14ac:dyDescent="0.2">
      <c r="A124" s="145" t="str">
        <f>IF(ISBLANK(Schedule1!A124),"",Schedule1!A124)</f>
        <v>Section 405 –</v>
      </c>
      <c r="B124" s="147" t="str">
        <f>IF(ISBLANK(Schedule1!B124),"",Schedule1!B124)</f>
        <v>Open-Graded Asphalt Friction</v>
      </c>
      <c r="C124" s="33" t="s">
        <v>21</v>
      </c>
      <c r="D124" s="143" t="str">
        <f>IF(Units="US CUSTOMARY"," Tons"," tonnes")</f>
        <v xml:space="preserve"> Tons</v>
      </c>
      <c r="E124" s="146" t="s">
        <v>22</v>
      </c>
      <c r="F124" s="24"/>
    </row>
    <row r="125" spans="1:6" ht="15" x14ac:dyDescent="0.2">
      <c r="A125" s="33">
        <f>IF(ISBLANK(Schedule1!A125),"",Schedule1!A125)</f>
        <v>40501</v>
      </c>
      <c r="B125" s="106" t="str">
        <f>IF(ISBLANK(Schedule1!B125),"",Schedule1!B125)</f>
        <v>Open-graded asphalt friction course</v>
      </c>
      <c r="C125" s="60">
        <f>Fuel405</f>
        <v>2.4</v>
      </c>
      <c r="D125" s="34"/>
      <c r="E125" s="105" t="str">
        <f>IF(ISNUMBER(D125),+C$125*D125, "-")</f>
        <v>-</v>
      </c>
      <c r="F125" s="24"/>
    </row>
    <row r="126" spans="1:6" ht="15" customHeight="1" x14ac:dyDescent="0.2">
      <c r="A126" s="145" t="str">
        <f>IF(ISBLANK(Schedule1!A126),"",Schedule1!A126)</f>
        <v>Section 408 –</v>
      </c>
      <c r="B126" s="147" t="str">
        <f>IF(ISBLANK(Schedule1!B126),"",Schedule1!B126)</f>
        <v>Cold Recycled Asphalt Base Course</v>
      </c>
      <c r="C126" s="33" t="s">
        <v>21</v>
      </c>
      <c r="D126" s="143" t="str">
        <f>IF(Units="US CUSTOMARY"," Tons"," tonnes")</f>
        <v xml:space="preserve"> Tons</v>
      </c>
      <c r="E126" s="146" t="s">
        <v>22</v>
      </c>
      <c r="F126" s="13"/>
    </row>
    <row r="127" spans="1:6" ht="12.75" customHeight="1" x14ac:dyDescent="0.2">
      <c r="A127" s="33" t="str">
        <f>IF(ISBLANK(Schedule1!A127),"",Schedule1!A127)</f>
        <v>40801</v>
      </c>
      <c r="B127" s="104" t="str">
        <f>IF(ISBLANK(Schedule1!B127),"",Schedule1!B127)</f>
        <v>Cold recycled asphalt base course</v>
      </c>
      <c r="C127" s="198">
        <f>Fuel408</f>
        <v>0.7</v>
      </c>
      <c r="D127" s="34"/>
      <c r="E127" s="105" t="str">
        <f>IF(ISNUMBER(D127),+C$127*D127, "-")</f>
        <v>-</v>
      </c>
      <c r="F127" s="13"/>
    </row>
    <row r="128" spans="1:6" ht="12.75" customHeight="1" x14ac:dyDescent="0.2">
      <c r="A128" s="33" t="str">
        <f>IF(ISBLANK(Schedule1!A128),"",Schedule1!A128)</f>
        <v>40802</v>
      </c>
      <c r="B128" s="104" t="str">
        <f>IF(ISBLANK(Schedule1!B128),"",Schedule1!B128)</f>
        <v>Cold recycled asphalt base course*</v>
      </c>
      <c r="C128" s="199"/>
      <c r="D128" s="34"/>
      <c r="E128" s="105" t="str">
        <f>IF(ISNUMBER(D128),+C$127*D128, "-")</f>
        <v>-</v>
      </c>
      <c r="F128" s="13"/>
    </row>
    <row r="129" spans="1:7" ht="15" customHeight="1" x14ac:dyDescent="0.2">
      <c r="A129" s="145" t="str">
        <f>IF(ISBLANK(Schedule1!A129),"",Schedule1!A129)</f>
        <v>Section 501 –</v>
      </c>
      <c r="B129" s="147" t="str">
        <f>IF(ISBLANK(Schedule1!B129),"",Schedule1!B129)</f>
        <v>Minor Concrete Pavement</v>
      </c>
      <c r="C129" s="33" t="s">
        <v>21</v>
      </c>
      <c r="D129" s="143" t="str">
        <f>IF(Units="US CUSTOMARY"," SQYD","m2")</f>
        <v xml:space="preserve"> SQYD</v>
      </c>
      <c r="E129" s="146" t="s">
        <v>22</v>
      </c>
      <c r="F129" s="13"/>
    </row>
    <row r="130" spans="1:7" ht="12.75" customHeight="1" x14ac:dyDescent="0.2">
      <c r="A130" s="33">
        <f>IF(ISBLANK(Schedule1!A130),"",Schedule1!A130)</f>
        <v>50101</v>
      </c>
      <c r="B130" s="104" t="str">
        <f>IF(ISBLANK(Schedule1!B130),"",Schedule1!B130)</f>
        <v>Minor concrete pacement, reinforced</v>
      </c>
      <c r="C130" s="198">
        <f>Fuel501</f>
        <v>0.6</v>
      </c>
      <c r="D130" s="34"/>
      <c r="E130" s="105" t="str">
        <f>IF(ISNUMBER(D130),+C$130*D130, "-")</f>
        <v>-</v>
      </c>
      <c r="F130" s="13"/>
    </row>
    <row r="131" spans="1:7" ht="12.75" customHeight="1" x14ac:dyDescent="0.2">
      <c r="A131" s="33">
        <f>IF(ISBLANK(Schedule1!A131),"",Schedule1!A131)</f>
        <v>50102</v>
      </c>
      <c r="B131" s="104" t="str">
        <f>IF(ISBLANK(Schedule1!B131),"",Schedule1!B131)</f>
        <v>Minor concrete pavement, plain</v>
      </c>
      <c r="C131" s="199"/>
      <c r="D131" s="34"/>
      <c r="E131" s="105" t="str">
        <f>IF(ISNUMBER(D131),+C$130*D131, "-")</f>
        <v>-</v>
      </c>
      <c r="F131" s="13"/>
    </row>
    <row r="132" spans="1:7" ht="12.75" customHeight="1" x14ac:dyDescent="0.2">
      <c r="A132" s="154" t="str">
        <f>IF(ISBLANK(Schedule1!A132),"",Schedule1!A132)</f>
        <v>* The Government, to agree with the units associated with the applicable Fuel Usage Factor, will convert work quantities, as necessary.</v>
      </c>
      <c r="B132" s="25"/>
      <c r="C132" s="26"/>
      <c r="D132" s="27"/>
      <c r="E132" s="27"/>
      <c r="F132" s="27"/>
    </row>
    <row r="133" spans="1:7" ht="12.75" customHeight="1" x14ac:dyDescent="0.2">
      <c r="A133" s="25"/>
      <c r="B133" s="25"/>
      <c r="C133" s="26"/>
      <c r="D133" s="27"/>
      <c r="E133" s="27"/>
      <c r="F133" s="27"/>
    </row>
    <row r="134" spans="1:7" ht="12.75" customHeight="1" x14ac:dyDescent="0.2">
      <c r="A134" s="25"/>
      <c r="B134" s="25"/>
      <c r="C134" s="26"/>
      <c r="D134" s="27"/>
      <c r="E134" s="27"/>
      <c r="F134" s="27"/>
    </row>
    <row r="135" spans="1:7" ht="18" x14ac:dyDescent="0.2">
      <c r="A135" s="36"/>
      <c r="B135" s="39"/>
      <c r="C135" s="40" t="str">
        <f>IF(ISBLANK(Schedule1!C135),"",Schedule1!C135)</f>
        <v xml:space="preserve">Total Quantity of Work x FUF (see 109.06, Table 1)   = </v>
      </c>
      <c r="D135" s="111">
        <f>SUM(E61:E132)</f>
        <v>0</v>
      </c>
      <c r="E135" s="7"/>
      <c r="F135" s="7"/>
      <c r="G135" s="76"/>
    </row>
    <row r="136" spans="1:7" ht="18" x14ac:dyDescent="0.2">
      <c r="A136" s="7"/>
      <c r="B136" s="112"/>
      <c r="C136" s="113" t="str">
        <f>IF(ISBLANK(Schedule1!C136),"",Schedule1!C136)</f>
        <v>BPI for Low Sulfur, No. 2 Diesel Fuel per Gallon</v>
      </c>
      <c r="D136" s="114"/>
      <c r="E136" s="24"/>
      <c r="F136" s="24"/>
      <c r="G136" s="76"/>
    </row>
    <row r="137" spans="1:7" ht="18" x14ac:dyDescent="0.2">
      <c r="A137" s="7"/>
      <c r="B137" s="115"/>
      <c r="C137" s="113" t="str">
        <f>IF(ISBLANK(Schedule1!C137),"",Schedule1!C137)</f>
        <v>Max MPPI (BPI x 1.6)</v>
      </c>
      <c r="D137" s="116">
        <f>IFERROR(D136*1.6,"-")</f>
        <v>0</v>
      </c>
      <c r="E137" s="24"/>
      <c r="F137" s="24"/>
      <c r="G137" s="76"/>
    </row>
    <row r="138" spans="1:7" ht="18" x14ac:dyDescent="0.2">
      <c r="A138" s="25"/>
      <c r="B138" s="115"/>
      <c r="C138" s="117" t="str">
        <f>IF(ISBLANK(Schedule1!C138),"",Schedule1!C138)</f>
        <v>Maximum Payment to Contractor</v>
      </c>
      <c r="D138" s="148">
        <f>IFERROR((1.6-1.1)*D136*D135,"-")</f>
        <v>0</v>
      </c>
      <c r="E138" s="27"/>
      <c r="F138" s="27"/>
      <c r="G138" s="76"/>
    </row>
    <row r="139" spans="1:7" ht="18" x14ac:dyDescent="0.15">
      <c r="A139" s="25"/>
      <c r="B139" s="115"/>
      <c r="C139" s="117" t="str">
        <f>IF(ISBLANK(Schedule1!C139),"",Schedule1!C139)</f>
        <v>% of Max. Payment to Contractor (15%-30%)</v>
      </c>
      <c r="D139" s="149"/>
      <c r="E139" s="28"/>
      <c r="F139" s="29"/>
      <c r="G139" s="76"/>
    </row>
    <row r="140" spans="1:7" ht="18" x14ac:dyDescent="0.15">
      <c r="A140" s="25"/>
      <c r="B140" s="118"/>
      <c r="C140" s="119" t="s">
        <v>51</v>
      </c>
      <c r="D140" s="110">
        <f>SUM(D139)*D138</f>
        <v>0</v>
      </c>
      <c r="E140" s="28"/>
      <c r="F140" s="29"/>
      <c r="G140" s="76"/>
    </row>
    <row r="141" spans="1:7" x14ac:dyDescent="0.2">
      <c r="A141" s="25"/>
      <c r="B141" s="25"/>
      <c r="C141" s="37"/>
      <c r="D141" s="38"/>
      <c r="E141" s="28"/>
      <c r="F141" s="29"/>
    </row>
    <row r="142" spans="1:7" x14ac:dyDescent="0.2">
      <c r="A142" s="30"/>
      <c r="B142" s="31"/>
      <c r="C142" s="26"/>
      <c r="D142" s="27"/>
      <c r="E142" s="27"/>
      <c r="F142" s="27"/>
    </row>
    <row r="143" spans="1:7" ht="13.5" thickBot="1" x14ac:dyDescent="0.2">
      <c r="A143" s="25"/>
      <c r="B143" s="25"/>
      <c r="C143" s="26"/>
      <c r="D143" s="27"/>
      <c r="E143" s="28"/>
      <c r="F143" s="29"/>
    </row>
    <row r="144" spans="1:7" ht="19.5" customHeight="1" thickBot="1" x14ac:dyDescent="0.25">
      <c r="A144" s="150" t="s">
        <v>52</v>
      </c>
      <c r="B144" s="44"/>
      <c r="C144" s="44"/>
      <c r="D144" s="44"/>
      <c r="E144" s="44"/>
      <c r="F144" s="45"/>
    </row>
    <row r="145" spans="1:7" x14ac:dyDescent="0.2">
      <c r="A145" s="30"/>
      <c r="B145" s="31"/>
      <c r="C145" s="26"/>
      <c r="D145" s="27"/>
      <c r="E145" s="27"/>
      <c r="F145" s="27"/>
    </row>
    <row r="146" spans="1:7" x14ac:dyDescent="0.2">
      <c r="A146" s="7"/>
      <c r="B146" s="23"/>
      <c r="C146" s="24"/>
      <c r="D146" s="24"/>
      <c r="E146" s="24"/>
      <c r="F146" s="24"/>
    </row>
    <row r="147" spans="1:7" ht="18.75" thickBot="1" x14ac:dyDescent="0.2">
      <c r="A147" s="25"/>
      <c r="B147" s="39"/>
      <c r="C147" s="40" t="s">
        <v>53</v>
      </c>
      <c r="D147" s="151"/>
      <c r="E147" s="28"/>
      <c r="F147" s="29"/>
      <c r="G147" s="76"/>
    </row>
    <row r="148" spans="1:7" ht="18.75" thickTop="1" x14ac:dyDescent="0.15">
      <c r="A148" s="25"/>
      <c r="B148" s="112"/>
      <c r="C148" s="113" t="s">
        <v>54</v>
      </c>
      <c r="D148" s="152"/>
      <c r="E148" s="28"/>
      <c r="F148" s="29"/>
      <c r="G148" s="76"/>
    </row>
    <row r="149" spans="1:7" ht="18" x14ac:dyDescent="0.15">
      <c r="A149" s="25"/>
      <c r="B149" s="115"/>
      <c r="C149" s="113" t="s">
        <v>48</v>
      </c>
      <c r="D149" s="116">
        <f>IFERROR(D148*1.6,"-")</f>
        <v>0</v>
      </c>
      <c r="E149" s="28"/>
      <c r="F149" s="29"/>
      <c r="G149" s="76"/>
    </row>
    <row r="150" spans="1:7" ht="18" x14ac:dyDescent="0.15">
      <c r="A150" s="25"/>
      <c r="B150" s="115"/>
      <c r="C150" s="117" t="s">
        <v>55</v>
      </c>
      <c r="D150" s="148">
        <f>IFERROR((1.6-1.1)*D148*(D147*0.06),"-")</f>
        <v>0</v>
      </c>
      <c r="E150" s="28"/>
      <c r="F150" s="29"/>
      <c r="G150" s="76"/>
    </row>
    <row r="151" spans="1:7" ht="18" x14ac:dyDescent="0.15">
      <c r="A151" s="25"/>
      <c r="B151" s="115"/>
      <c r="C151" s="117" t="s">
        <v>50</v>
      </c>
      <c r="D151" s="149"/>
      <c r="E151" s="28"/>
      <c r="F151" s="29"/>
      <c r="G151" s="76"/>
    </row>
    <row r="152" spans="1:7" ht="18" x14ac:dyDescent="0.2">
      <c r="A152" s="25"/>
      <c r="B152" s="118"/>
      <c r="C152" s="119" t="s">
        <v>56</v>
      </c>
      <c r="D152" s="110">
        <f>SUM(D151)*D150</f>
        <v>0</v>
      </c>
      <c r="E152" s="27"/>
      <c r="F152" s="27"/>
      <c r="G152" s="76"/>
    </row>
    <row r="153" spans="1:7" x14ac:dyDescent="0.2">
      <c r="A153" s="25"/>
      <c r="B153" s="25"/>
      <c r="C153" s="26"/>
      <c r="D153" s="27"/>
      <c r="E153" s="27"/>
      <c r="F153" s="27"/>
    </row>
    <row r="154" spans="1:7" x14ac:dyDescent="0.2">
      <c r="A154" s="30"/>
      <c r="B154" s="31"/>
      <c r="C154" s="26"/>
      <c r="D154" s="27"/>
      <c r="E154" s="27"/>
      <c r="F154" s="27"/>
    </row>
    <row r="155" spans="1:7" x14ac:dyDescent="0.2">
      <c r="A155" s="31"/>
      <c r="B155" s="31"/>
      <c r="C155" s="26"/>
      <c r="D155" s="27"/>
      <c r="E155" s="27"/>
      <c r="F155" s="27"/>
    </row>
  </sheetData>
  <dataConsolidate/>
  <mergeCells count="26">
    <mergeCell ref="C127:C128"/>
    <mergeCell ref="C130:C131"/>
    <mergeCell ref="C102:C103"/>
    <mergeCell ref="C105:C106"/>
    <mergeCell ref="C108:C110"/>
    <mergeCell ref="A112:F112"/>
    <mergeCell ref="B116:D116"/>
    <mergeCell ref="C122:C123"/>
    <mergeCell ref="C96:C100"/>
    <mergeCell ref="A34:F34"/>
    <mergeCell ref="A41:E41"/>
    <mergeCell ref="A52:F52"/>
    <mergeCell ref="B56:D56"/>
    <mergeCell ref="C62:C66"/>
    <mergeCell ref="C68:C71"/>
    <mergeCell ref="C73:C80"/>
    <mergeCell ref="C82:C83"/>
    <mergeCell ref="C85:C87"/>
    <mergeCell ref="C89:C91"/>
    <mergeCell ref="C93:C94"/>
    <mergeCell ref="A32:E32"/>
    <mergeCell ref="A1:F1"/>
    <mergeCell ref="B5:D5"/>
    <mergeCell ref="A8:F8"/>
    <mergeCell ref="A18:F18"/>
    <mergeCell ref="A25:F25"/>
  </mergeCells>
  <conditionalFormatting sqref="A61:E131">
    <cfRule type="expression" dxfId="4" priority="1">
      <formula>$C61="FUF"</formula>
    </cfRule>
  </conditionalFormatting>
  <dataValidations count="8">
    <dataValidation allowBlank="1" showInputMessage="1" showErrorMessage="1" promptTitle="Enter project name" prompt="Example:  Pinto Basin Road" sqref="B6:D6" xr:uid="{39055DD5-33F9-4F60-85A6-DE5FF9DCEA5F}"/>
    <dataValidation type="list" allowBlank="1" showInputMessage="1" showErrorMessage="1" promptTitle="Select Schedule Type" prompt="Select Base, Option, or Alternate" sqref="F4" xr:uid="{8611EDED-0EEC-4C57-A990-3AB251C0357F}">
      <formula1>", Base, Option, Alternate"</formula1>
    </dataValidation>
    <dataValidation type="whole" operator="greaterThanOrEqual" allowBlank="1" showInputMessage="1" showErrorMessage="1" error="Bid decimals set to zero._x000a__x000a_Contact Heidi Hirsbrunner (X3622)_x000a__x000a_to modify Incentive Spreadsheet." sqref="D108:D110 D93:D94 D130:D131 D102:D103 D89:D91 D125 D122:D123 D127:D128 D85:D87 D105:D106 D96:D100" xr:uid="{C9D5CF32-AF04-4167-8074-5BDC154AA1B0}">
      <formula1>0</formula1>
    </dataValidation>
    <dataValidation type="whole" operator="greaterThanOrEqual" allowBlank="1" showInputMessage="1" showErrorMessage="1" error="Bid decimals set to zero._x000a__x000a_Contact Heidi Hirsbrunner (X3622) _x000a__x000a_to modify Incentive Spreadsheet." sqref="D73:D80 D82:D83" xr:uid="{3F030FF2-4DD2-407B-944E-A5E83C9E7279}">
      <formula1>0</formula1>
    </dataValidation>
    <dataValidation type="whole" operator="greaterThanOrEqual" allowBlank="1" showInputMessage="1" showErrorMessage="1" error="Bid decimals set to zero._x000a__x000a_Contact Heidi Hirsbrunner (X3622)_x000a_                   _x000a_to modify Incentive Spreadsheet." sqref="D68:D71 D62:D66" xr:uid="{F4A7A60B-2EE6-4365-BA76-28E076982C00}">
      <formula1>0</formula1>
    </dataValidation>
    <dataValidation type="whole" operator="greaterThanOrEqual" allowBlank="1" showInputMessage="1" showErrorMessage="1" error="Bid decimals set to zero._x000a__x000a_Contact Heidi Hirsbrunner (X3622)_x000a_                _x000a_to modify Incentive Spreadsheet." sqref="C36:C38 C10:C17 C20:C23 C27:C29" xr:uid="{489553CC-3EFF-4F04-BC03-0FB98B7EDCA9}">
      <formula1>0</formula1>
    </dataValidation>
    <dataValidation type="whole" operator="greaterThanOrEqual" allowBlank="1" showInputMessage="1" showErrorMessage="1" error="Bid decimals set to zero._x000a__x000a_Contact Steve Chapman (X7801)_x000a_                   or_x000a_    Greg Kwock (X7987)_x000a__x000a_to modify Incentive Spreadsheet." sqref="C24 C30 C111" xr:uid="{FF4A0C65-B61B-452A-811E-CD0948EFAF4C}">
      <formula1>0</formula1>
    </dataValidation>
    <dataValidation type="list" showInputMessage="1" showErrorMessage="1" error="Please use drop-down menu to select a schedule letter" promptTitle="Choose Letter" prompt="If you need more than six schedules, then copy addtional sheet tabs and calculate incentives separately for each schedule._x000a__x000a_Sheets tabs can be copied by left clicking the active tab, choosing 'Move or Copy', then clicking the 'Create Copy' checkbox.  " sqref="F5" xr:uid="{2BC23812-49E4-47C9-9AA1-3E2F841C173C}">
      <formula1>"  , A, B, C, D, E, F, G, W, X, Y, Z"</formula1>
    </dataValidation>
  </dataValidations>
  <printOptions horizontalCentered="1"/>
  <pageMargins left="0.45" right="0.45" top="0.6" bottom="0.25" header="0" footer="0.05"/>
  <pageSetup scale="81" fitToHeight="2" orientation="portrait" r:id="rId1"/>
  <headerFooter>
    <oddFooter>&amp;RRev. 04-23-2024</oddFooter>
  </headerFooter>
  <rowBreaks count="2" manualBreakCount="2">
    <brk id="51" max="7" man="1"/>
    <brk id="111" max="6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CD66B-AB8D-427D-946B-51FAB10063DF}">
  <dimension ref="A1:G155"/>
  <sheetViews>
    <sheetView showGridLines="0" zoomScaleNormal="100" workbookViewId="0">
      <selection activeCell="F5" sqref="F5"/>
    </sheetView>
  </sheetViews>
  <sheetFormatPr defaultColWidth="9.140625" defaultRowHeight="12.75" x14ac:dyDescent="0.2"/>
  <cols>
    <col min="1" max="1" width="14.7109375" style="1" customWidth="1"/>
    <col min="2" max="2" width="36.7109375" style="1" customWidth="1"/>
    <col min="3" max="3" width="14.7109375" style="20" customWidth="1"/>
    <col min="4" max="5" width="14.7109375" style="21" customWidth="1"/>
    <col min="6" max="6" width="16.7109375" style="21" customWidth="1"/>
    <col min="7" max="16384" width="9.140625" style="1"/>
  </cols>
  <sheetData>
    <row r="1" spans="1:7" ht="24" thickBot="1" x14ac:dyDescent="0.25">
      <c r="A1" s="206" t="s">
        <v>77</v>
      </c>
      <c r="B1" s="206"/>
      <c r="C1" s="206"/>
      <c r="D1" s="206"/>
      <c r="E1" s="206"/>
      <c r="F1" s="206"/>
      <c r="G1" s="77" t="s">
        <v>91</v>
      </c>
    </row>
    <row r="2" spans="1:7" ht="14.25" thickTop="1" thickBot="1" x14ac:dyDescent="0.25">
      <c r="A2" s="70"/>
      <c r="B2" s="96" t="s">
        <v>94</v>
      </c>
      <c r="C2" s="98" t="str">
        <f>FP</f>
        <v>FP-14</v>
      </c>
      <c r="D2" s="73"/>
      <c r="E2" s="73"/>
      <c r="F2" s="73"/>
    </row>
    <row r="3" spans="1:7" ht="19.5" thickTop="1" thickBot="1" x14ac:dyDescent="0.25">
      <c r="A3" s="70"/>
      <c r="B3" s="70"/>
      <c r="C3" s="74"/>
      <c r="D3" s="73"/>
      <c r="E3" s="64" t="s">
        <v>1</v>
      </c>
      <c r="F3" s="65">
        <f ca="1" xml:space="preserve"> TODAY()</f>
        <v>45469</v>
      </c>
      <c r="G3" s="76"/>
    </row>
    <row r="4" spans="1:7" ht="19.5" thickTop="1" thickBot="1" x14ac:dyDescent="0.25">
      <c r="A4" s="96" t="s">
        <v>107</v>
      </c>
      <c r="B4" s="120" t="str">
        <f>ProjNum</f>
        <v>WA WFL Test(1)</v>
      </c>
      <c r="C4" s="99"/>
      <c r="D4" s="100"/>
      <c r="E4" s="66" t="s">
        <v>3</v>
      </c>
      <c r="F4" s="67" t="s">
        <v>4</v>
      </c>
      <c r="G4" s="76"/>
    </row>
    <row r="5" spans="1:7" ht="19.5" thickTop="1" thickBot="1" x14ac:dyDescent="0.25">
      <c r="A5" s="96" t="s">
        <v>108</v>
      </c>
      <c r="B5" s="201" t="str">
        <f>ProjName</f>
        <v>Wafflehead Park Road</v>
      </c>
      <c r="C5" s="201"/>
      <c r="D5" s="201"/>
      <c r="E5" s="66" t="s">
        <v>5</v>
      </c>
      <c r="F5" s="68" t="s">
        <v>58</v>
      </c>
      <c r="G5" s="76"/>
    </row>
    <row r="6" spans="1:7" ht="19.5" thickTop="1" thickBot="1" x14ac:dyDescent="0.25">
      <c r="A6" s="61"/>
      <c r="B6" s="75"/>
      <c r="C6" s="75"/>
      <c r="D6" s="75"/>
      <c r="E6" s="64" t="s">
        <v>7</v>
      </c>
      <c r="F6" s="98" t="str">
        <f>Units</f>
        <v>US CUSTOMARY</v>
      </c>
      <c r="G6" s="76"/>
    </row>
    <row r="7" spans="1:7" ht="14.25" thickTop="1" thickBot="1" x14ac:dyDescent="0.25">
      <c r="A7" s="70"/>
      <c r="B7" s="70"/>
      <c r="C7" s="72"/>
      <c r="D7" s="73"/>
      <c r="E7" s="64"/>
      <c r="F7" s="63"/>
    </row>
    <row r="8" spans="1:7" ht="18.75" thickBot="1" x14ac:dyDescent="0.25">
      <c r="A8" s="208" t="s">
        <v>9</v>
      </c>
      <c r="B8" s="208"/>
      <c r="C8" s="208"/>
      <c r="D8" s="208"/>
      <c r="E8" s="208"/>
      <c r="F8" s="208"/>
      <c r="G8" s="84"/>
    </row>
    <row r="9" spans="1:7" ht="26.25" thickBot="1" x14ac:dyDescent="0.25">
      <c r="A9" s="94" t="s">
        <v>93</v>
      </c>
      <c r="B9" s="8" t="s">
        <v>10</v>
      </c>
      <c r="C9" s="95" t="str">
        <f>"Quantity"&amp;CHAR(10)&amp;IF(Units="US CUSTOMARY"," (Ton or SY)"," (tonnes or m2)")</f>
        <v>Quantity
 (Ton or SY)</v>
      </c>
      <c r="D9" s="9" t="s">
        <v>11</v>
      </c>
      <c r="E9" s="95" t="str">
        <f>"Q_"&amp;IF(Units="US CUSTOMARY","Ton","t")&amp;CHAR(10)&amp;"Unit Price"</f>
        <v>Q_Ton
Unit Price</v>
      </c>
      <c r="F9" s="9" t="s">
        <v>12</v>
      </c>
    </row>
    <row r="10" spans="1:7" ht="19.5" thickTop="1" thickBot="1" x14ac:dyDescent="0.25">
      <c r="A10" s="122">
        <f>IF(ISBLANK(Schedule1!A10),"",Schedule1!A10)</f>
        <v>301</v>
      </c>
      <c r="B10" s="56" t="str">
        <f>IF(ISBLANK(Schedule1!B10),"",Schedule1!B10)</f>
        <v>Untreated Aggregate Courses</v>
      </c>
      <c r="C10" s="78"/>
      <c r="D10" s="85"/>
      <c r="E10" s="87">
        <f t="shared" ref="E10:E16" si="0">ROUND(D10*Materials1,2)</f>
        <v>0</v>
      </c>
      <c r="F10" s="87">
        <f>C10*E10</f>
        <v>0</v>
      </c>
      <c r="G10" s="76"/>
    </row>
    <row r="11" spans="1:7" ht="19.5" thickTop="1" thickBot="1" x14ac:dyDescent="0.25">
      <c r="A11" s="122" t="str">
        <f>IF(ISBLANK(Schedule1!A11),"",Schedule1!A11)</f>
        <v>309</v>
      </c>
      <c r="B11" s="56" t="str">
        <f>IF(ISBLANK(Schedule1!B11),"",Schedule1!B11)</f>
        <v>Emulsified Asphalt-Treated Base Course</v>
      </c>
      <c r="C11" s="80"/>
      <c r="D11" s="88"/>
      <c r="E11" s="87">
        <f t="shared" si="0"/>
        <v>0</v>
      </c>
      <c r="F11" s="87">
        <f t="shared" ref="F11:F16" si="1">C11*E11</f>
        <v>0</v>
      </c>
      <c r="G11" s="76"/>
    </row>
    <row r="12" spans="1:7" ht="19.5" thickTop="1" thickBot="1" x14ac:dyDescent="0.25">
      <c r="A12" s="81">
        <f>IF(ISBLANK(Schedule1!A12),"",Schedule1!A12)</f>
        <v>311</v>
      </c>
      <c r="B12" s="56" t="str">
        <f>IF(ISBLANK(Schedule1!B12),"",Schedule1!B12)</f>
        <v>Stabilized Aggregate Surface Course</v>
      </c>
      <c r="C12" s="80"/>
      <c r="D12" s="88"/>
      <c r="E12" s="87">
        <f t="shared" si="0"/>
        <v>0</v>
      </c>
      <c r="F12" s="87">
        <f t="shared" si="1"/>
        <v>0</v>
      </c>
      <c r="G12" s="76"/>
    </row>
    <row r="13" spans="1:7" ht="19.5" thickTop="1" thickBot="1" x14ac:dyDescent="0.25">
      <c r="A13" s="122">
        <f>IF(ISBLANK(Schedule1!A13),"",Schedule1!A13)</f>
        <v>405</v>
      </c>
      <c r="B13" s="56" t="str">
        <f>IF(ISBLANK(Schedule1!B13),"",Schedule1!B13)</f>
        <v>Open-Graded Asphalt Friction Course</v>
      </c>
      <c r="C13" s="80"/>
      <c r="D13" s="88"/>
      <c r="E13" s="87">
        <f t="shared" si="0"/>
        <v>0</v>
      </c>
      <c r="F13" s="87">
        <f t="shared" si="1"/>
        <v>0</v>
      </c>
      <c r="G13" s="76"/>
    </row>
    <row r="14" spans="1:7" ht="19.5" thickTop="1" thickBot="1" x14ac:dyDescent="0.25">
      <c r="A14" s="122">
        <f>IF(ISBLANK(Schedule1!A14),"",Schedule1!A14)</f>
        <v>407</v>
      </c>
      <c r="B14" s="56" t="str">
        <f>IF(ISBLANK(Schedule1!B14),"",Schedule1!B14)</f>
        <v>Chip Seal</v>
      </c>
      <c r="C14" s="80"/>
      <c r="D14" s="88"/>
      <c r="E14" s="87">
        <f t="shared" si="0"/>
        <v>0</v>
      </c>
      <c r="F14" s="87">
        <f t="shared" si="1"/>
        <v>0</v>
      </c>
      <c r="G14" s="76"/>
    </row>
    <row r="15" spans="1:7" ht="19.5" thickTop="1" thickBot="1" x14ac:dyDescent="0.25">
      <c r="A15" s="123" t="str">
        <f>IF(ISBLANK(Schedule1!A15),"",Schedule1!A15)</f>
        <v>-</v>
      </c>
      <c r="B15" s="56" t="str">
        <f>IF(ISBLANK(Schedule1!B15),"",Schedule1!B15)</f>
        <v/>
      </c>
      <c r="C15" s="82"/>
      <c r="D15" s="89"/>
      <c r="E15" s="87">
        <f t="shared" si="0"/>
        <v>0</v>
      </c>
      <c r="F15" s="87">
        <f t="shared" si="1"/>
        <v>0</v>
      </c>
      <c r="G15" s="76"/>
    </row>
    <row r="16" spans="1:7" ht="18.75" thickTop="1" x14ac:dyDescent="0.2">
      <c r="A16" s="123" t="str">
        <f>IF(ISBLANK(Schedule1!A16),"",Schedule1!A16)</f>
        <v>-</v>
      </c>
      <c r="B16" s="56" t="str">
        <f>IF(ISBLANK(Schedule1!B16),"",Schedule1!B16)</f>
        <v/>
      </c>
      <c r="C16" s="82"/>
      <c r="D16" s="89"/>
      <c r="E16" s="87">
        <f t="shared" si="0"/>
        <v>0</v>
      </c>
      <c r="F16" s="87">
        <f t="shared" si="1"/>
        <v>0</v>
      </c>
      <c r="G16" s="76"/>
    </row>
    <row r="17" spans="1:7" ht="13.5" thickBot="1" x14ac:dyDescent="0.25">
      <c r="A17" s="122"/>
      <c r="B17" s="56"/>
      <c r="C17" s="83"/>
      <c r="D17" s="90"/>
      <c r="E17" s="87"/>
      <c r="F17" s="87"/>
    </row>
    <row r="18" spans="1:7" ht="18.75" thickBot="1" x14ac:dyDescent="0.25">
      <c r="A18" s="205" t="s">
        <v>13</v>
      </c>
      <c r="B18" s="205"/>
      <c r="C18" s="205"/>
      <c r="D18" s="205"/>
      <c r="E18" s="205"/>
      <c r="F18" s="205"/>
      <c r="G18" s="84"/>
    </row>
    <row r="19" spans="1:7" ht="26.25" thickBot="1" x14ac:dyDescent="0.25">
      <c r="A19" s="94" t="s">
        <v>93</v>
      </c>
      <c r="B19" s="8" t="s">
        <v>10</v>
      </c>
      <c r="C19" s="95" t="str">
        <f>"Quantity"&amp;CHAR(10)&amp;IF(Units="US CUSTOMARY"," (Ton or SY)"," (tonnes or m2)")</f>
        <v>Quantity
 (Ton or SY)</v>
      </c>
      <c r="D19" s="9" t="s">
        <v>11</v>
      </c>
      <c r="E19" s="95" t="str">
        <f>"Q_"&amp;IF(Units="US CUSTOMARY","Ton","t")&amp;CHAR(10)&amp;"Unit Price"</f>
        <v>Q_Ton
Unit Price</v>
      </c>
      <c r="F19" s="9" t="s">
        <v>12</v>
      </c>
    </row>
    <row r="20" spans="1:7" ht="19.5" thickTop="1" thickBot="1" x14ac:dyDescent="0.25">
      <c r="A20" s="122" t="str">
        <f>IF(ISBLANK(Schedule1!A20),"",Schedule1!A20)</f>
        <v>401</v>
      </c>
      <c r="B20" s="56" t="str">
        <f>IF(ISBLANK(Schedule1!B20),"",Schedule1!B20)</f>
        <v>ACP by Gyratory Mix Design</v>
      </c>
      <c r="C20" s="78"/>
      <c r="D20" s="85"/>
      <c r="E20" s="87">
        <f>ROUND(D20*Materials2,2)</f>
        <v>0</v>
      </c>
      <c r="F20" s="87">
        <f>C20*E20</f>
        <v>0</v>
      </c>
      <c r="G20" s="76"/>
    </row>
    <row r="21" spans="1:7" ht="19.5" thickTop="1" thickBot="1" x14ac:dyDescent="0.25">
      <c r="A21" s="122" t="str">
        <f>IF(ISBLANK(Schedule1!A21),"",Schedule1!A21)</f>
        <v>-</v>
      </c>
      <c r="B21" s="122" t="str">
        <f>IF(ISBLANK(Schedule1!B21),"",Schedule1!B21)</f>
        <v/>
      </c>
      <c r="C21" s="80"/>
      <c r="D21" s="88"/>
      <c r="E21" s="87">
        <f>ROUND(D21*Materials2,2)</f>
        <v>0</v>
      </c>
      <c r="F21" s="87">
        <f t="shared" ref="F21:F23" si="2">C21*E21</f>
        <v>0</v>
      </c>
      <c r="G21" s="76"/>
    </row>
    <row r="22" spans="1:7" ht="19.5" thickTop="1" thickBot="1" x14ac:dyDescent="0.25">
      <c r="A22" s="122" t="str">
        <f>IF(ISBLANK(Schedule1!A22),"",Schedule1!A22)</f>
        <v>-</v>
      </c>
      <c r="B22" s="56" t="str">
        <f>IF(ISBLANK(Schedule1!B22),"",Schedule1!B22)</f>
        <v/>
      </c>
      <c r="C22" s="80"/>
      <c r="D22" s="88"/>
      <c r="E22" s="87">
        <f>ROUND(D22*Materials2,2)</f>
        <v>0</v>
      </c>
      <c r="F22" s="87">
        <f t="shared" si="2"/>
        <v>0</v>
      </c>
      <c r="G22" s="76"/>
    </row>
    <row r="23" spans="1:7" ht="19.5" thickTop="1" thickBot="1" x14ac:dyDescent="0.25">
      <c r="A23" s="122" t="str">
        <f>IF(ISBLANK(Schedule1!A23),"",Schedule1!A23)</f>
        <v/>
      </c>
      <c r="B23" s="56" t="str">
        <f>IF(ISBLANK(Schedule1!B23),"",Schedule1!B23)</f>
        <v/>
      </c>
      <c r="C23" s="80"/>
      <c r="D23" s="88"/>
      <c r="E23" s="87">
        <f>ROUND(D23*Materials2,2)</f>
        <v>0</v>
      </c>
      <c r="F23" s="87">
        <f t="shared" si="2"/>
        <v>0</v>
      </c>
      <c r="G23" s="76"/>
    </row>
    <row r="24" spans="1:7" ht="15" customHeight="1" thickTop="1" thickBot="1" x14ac:dyDescent="0.25">
      <c r="A24" s="10"/>
      <c r="B24" s="11"/>
      <c r="C24" s="47"/>
      <c r="D24" s="48"/>
      <c r="E24" s="13"/>
      <c r="F24" s="13"/>
    </row>
    <row r="25" spans="1:7" ht="18.75" thickBot="1" x14ac:dyDescent="0.25">
      <c r="A25" s="205" t="s">
        <v>14</v>
      </c>
      <c r="B25" s="205"/>
      <c r="C25" s="205"/>
      <c r="D25" s="205"/>
      <c r="E25" s="205"/>
      <c r="F25" s="205"/>
      <c r="G25" s="84"/>
    </row>
    <row r="26" spans="1:7" ht="26.25" thickBot="1" x14ac:dyDescent="0.25">
      <c r="A26" s="94" t="s">
        <v>93</v>
      </c>
      <c r="B26" s="8" t="s">
        <v>10</v>
      </c>
      <c r="C26" s="95" t="str">
        <f>"Quantity"&amp;CHAR(10)&amp;IF(Units="US CUSTOMARY"," (Ton or SY)"," (tonnes or m2)")</f>
        <v>Quantity
 (Ton or SY)</v>
      </c>
      <c r="D26" s="9" t="s">
        <v>11</v>
      </c>
      <c r="E26" s="95" t="str">
        <f>"Q_"&amp;IF(Units="US CUSTOMARY","Ton","t")&amp;CHAR(10)&amp;"Unit Price"</f>
        <v>Q_Ton
Unit Price</v>
      </c>
      <c r="F26" s="9" t="s">
        <v>12</v>
      </c>
    </row>
    <row r="27" spans="1:7" ht="19.5" thickTop="1" thickBot="1" x14ac:dyDescent="0.25">
      <c r="A27" s="122" t="str">
        <f>IF(ISBLANK(Schedule1!A27),"",Schedule1!A27)</f>
        <v xml:space="preserve"> -</v>
      </c>
      <c r="B27" s="56" t="str">
        <f>IF(ISBLANK(Schedule1!B27),"",Schedule1!B27)</f>
        <v xml:space="preserve">                      -</v>
      </c>
      <c r="C27" s="78"/>
      <c r="D27" s="85"/>
      <c r="E27" s="87">
        <f>ROUND(D27*Materials3,2)</f>
        <v>0</v>
      </c>
      <c r="F27" s="87">
        <f>C27*E27</f>
        <v>0</v>
      </c>
      <c r="G27" s="76"/>
    </row>
    <row r="28" spans="1:7" ht="19.5" thickTop="1" thickBot="1" x14ac:dyDescent="0.25">
      <c r="A28" s="122" t="str">
        <f>IF(ISBLANK(Schedule1!A28),"",Schedule1!A28)</f>
        <v>-</v>
      </c>
      <c r="B28" s="56" t="str">
        <f>IF(ISBLANK(Schedule1!B28),"",Schedule1!B28)</f>
        <v/>
      </c>
      <c r="C28" s="80"/>
      <c r="D28" s="88"/>
      <c r="E28" s="87">
        <f>ROUND(D28*Materials3,2)</f>
        <v>0</v>
      </c>
      <c r="F28" s="87">
        <f>C28*E28</f>
        <v>0</v>
      </c>
      <c r="G28" s="76"/>
    </row>
    <row r="29" spans="1:7" ht="19.5" thickTop="1" thickBot="1" x14ac:dyDescent="0.25">
      <c r="A29" s="122" t="str">
        <f>IF(ISBLANK(Schedule1!A29),"",Schedule1!A29)</f>
        <v>-</v>
      </c>
      <c r="B29" s="56" t="str">
        <f>IF(ISBLANK(Schedule1!B29),"",Schedule1!B29)</f>
        <v/>
      </c>
      <c r="C29" s="80"/>
      <c r="D29" s="88"/>
      <c r="E29" s="87">
        <f>ROUND(D29*Materials3,2)</f>
        <v>0</v>
      </c>
      <c r="F29" s="87">
        <f>C29*E29</f>
        <v>0</v>
      </c>
      <c r="G29" s="76"/>
    </row>
    <row r="30" spans="1:7" ht="13.5" thickTop="1" x14ac:dyDescent="0.2">
      <c r="A30" s="10"/>
      <c r="B30" s="11"/>
      <c r="C30" s="12"/>
      <c r="D30" s="14"/>
      <c r="E30" s="13"/>
      <c r="F30" s="13"/>
    </row>
    <row r="31" spans="1:7" x14ac:dyDescent="0.2">
      <c r="A31" s="2"/>
      <c r="B31" s="2"/>
      <c r="C31" s="3"/>
      <c r="D31" s="4"/>
      <c r="E31" s="4"/>
      <c r="F31" s="4"/>
    </row>
    <row r="32" spans="1:7" x14ac:dyDescent="0.2">
      <c r="A32" s="211" t="s">
        <v>95</v>
      </c>
      <c r="B32" s="211"/>
      <c r="C32" s="211"/>
      <c r="D32" s="211"/>
      <c r="E32" s="211"/>
      <c r="F32" s="109">
        <f>SUM(F10:F16,F20:F23,F27:F29)</f>
        <v>0</v>
      </c>
    </row>
    <row r="33" spans="1:7" ht="13.5" thickBot="1" x14ac:dyDescent="0.25">
      <c r="A33" s="15"/>
      <c r="B33" s="15"/>
      <c r="C33" s="15"/>
      <c r="D33" s="15"/>
      <c r="E33" s="15"/>
      <c r="F33" s="16"/>
    </row>
    <row r="34" spans="1:7" ht="18.75" thickBot="1" x14ac:dyDescent="0.25">
      <c r="A34" s="210" t="s">
        <v>15</v>
      </c>
      <c r="B34" s="210"/>
      <c r="C34" s="210"/>
      <c r="D34" s="210"/>
      <c r="E34" s="210"/>
      <c r="F34" s="210"/>
    </row>
    <row r="35" spans="1:7" ht="26.25" thickBot="1" x14ac:dyDescent="0.25">
      <c r="A35" s="94" t="s">
        <v>93</v>
      </c>
      <c r="B35" s="8" t="s">
        <v>10</v>
      </c>
      <c r="C35" s="97" t="str">
        <f>"Project"&amp;CHAR(10)&amp;"Lane-"&amp;IF(Units="US CUSTOMARY","miles","kilometers")</f>
        <v>Project
Lane-miles</v>
      </c>
      <c r="D35" s="9"/>
      <c r="E35" s="9"/>
      <c r="F35" s="9" t="s">
        <v>12</v>
      </c>
    </row>
    <row r="36" spans="1:7" ht="19.5" thickTop="1" thickBot="1" x14ac:dyDescent="0.25">
      <c r="A36" s="122">
        <f>IF(ISBLANK(Schedule1!A36),"",Schedule1!A36)</f>
        <v>401</v>
      </c>
      <c r="B36" s="70" t="str">
        <f>IF(ISBLANK(Schedule1!B36),"",Schedule1!B36)</f>
        <v>ACP by Gyratory Mix Design</v>
      </c>
      <c r="C36" s="78"/>
      <c r="D36" s="79"/>
      <c r="E36" s="79"/>
      <c r="F36" s="87">
        <f>C36*IF(Units="US CUSTOMARY",100000,62200)*Rough</f>
        <v>0</v>
      </c>
      <c r="G36" s="76"/>
    </row>
    <row r="37" spans="1:7" ht="19.5" thickTop="1" thickBot="1" x14ac:dyDescent="0.25">
      <c r="A37" s="122" t="str">
        <f>IF(ISBLANK(Schedule1!A37),"",Schedule1!A37)</f>
        <v>-</v>
      </c>
      <c r="B37" s="70" t="str">
        <f>IF(ISBLANK(Schedule1!B37),"",Schedule1!B37)</f>
        <v/>
      </c>
      <c r="C37" s="80"/>
      <c r="D37" s="79"/>
      <c r="E37" s="79"/>
      <c r="F37" s="87">
        <f>C37*IF(Units="US CUSTOMARY",100000,62200)*Rough</f>
        <v>0</v>
      </c>
      <c r="G37" s="76"/>
    </row>
    <row r="38" spans="1:7" ht="19.5" thickTop="1" thickBot="1" x14ac:dyDescent="0.25">
      <c r="A38" s="122" t="str">
        <f>IF(ISBLANK(Schedule1!A38),"",Schedule1!A38)</f>
        <v>-</v>
      </c>
      <c r="B38" s="122" t="str">
        <f>IF(ISBLANK(Schedule1!B38),"",Schedule1!B38)</f>
        <v/>
      </c>
      <c r="C38" s="80"/>
      <c r="D38" s="79"/>
      <c r="E38" s="79"/>
      <c r="F38" s="87">
        <f>C38*IF(Units="US CUSTOMARY",100000,62200)*Rough</f>
        <v>0</v>
      </c>
      <c r="G38" s="76"/>
    </row>
    <row r="39" spans="1:7" ht="13.5" thickTop="1" x14ac:dyDescent="0.2">
      <c r="A39" s="10"/>
      <c r="B39" s="2"/>
      <c r="C39" s="17"/>
      <c r="D39" s="13"/>
      <c r="E39" s="13"/>
      <c r="F39" s="13"/>
    </row>
    <row r="40" spans="1:7" x14ac:dyDescent="0.2">
      <c r="A40" s="2"/>
      <c r="B40" s="2"/>
      <c r="C40" s="3"/>
      <c r="D40" s="4"/>
      <c r="E40" s="4"/>
      <c r="F40" s="4"/>
    </row>
    <row r="41" spans="1:7" x14ac:dyDescent="0.2">
      <c r="A41" s="211" t="s">
        <v>96</v>
      </c>
      <c r="B41" s="211"/>
      <c r="C41" s="211"/>
      <c r="D41" s="211"/>
      <c r="E41" s="211"/>
      <c r="F41" s="109">
        <f>SUM(F36:F38)</f>
        <v>0</v>
      </c>
    </row>
    <row r="42" spans="1:7" x14ac:dyDescent="0.15">
      <c r="A42" s="2"/>
      <c r="B42" s="2"/>
      <c r="C42" s="3"/>
      <c r="D42" s="4"/>
      <c r="E42" s="18"/>
      <c r="F42" s="19"/>
    </row>
    <row r="43" spans="1:7" ht="22.5" x14ac:dyDescent="0.15">
      <c r="A43" s="91" t="str">
        <f>IF(ISBLANK(Schedule1!A43),"",Schedule1!A43)</f>
        <v xml:space="preserve">Note 1: </v>
      </c>
      <c r="B43" s="92" t="str">
        <f>IF(ISBLANK(Schedule1!B43),"",Schedule1!B43)</f>
        <v>Q_t Unit Price = (Unit Price x 0.05)
Incentive Amt = (Quantity x Q_t Unit Price)</v>
      </c>
      <c r="C43" s="3"/>
      <c r="D43" s="4"/>
      <c r="E43" s="18"/>
      <c r="F43" s="19"/>
    </row>
    <row r="44" spans="1:7" x14ac:dyDescent="0.15">
      <c r="A44" s="22" t="str">
        <f>IF(ISBLANK(Schedule1!A44),"",Schedule1!A44)</f>
        <v/>
      </c>
      <c r="B44" s="22" t="str">
        <f>IF(ISBLANK(Schedule1!B44),"",Schedule1!B44)</f>
        <v/>
      </c>
      <c r="C44" s="3"/>
      <c r="D44" s="4"/>
      <c r="E44" s="18"/>
      <c r="F44" s="19"/>
    </row>
    <row r="45" spans="1:7" ht="22.5" x14ac:dyDescent="0.2">
      <c r="A45" s="91" t="str">
        <f>IF(ISBLANK(Schedule1!A45),"",Schedule1!A45)</f>
        <v xml:space="preserve">Note 2: </v>
      </c>
      <c r="B45" s="92" t="str">
        <f>IF(ISBLANK(Schedule1!B45),"",Schedule1!B45)</f>
        <v>Q_t Unit Price = (Unit Price x 0.06)
Incentive Amt = (Quantity x Q_t Unit Price)</v>
      </c>
      <c r="C45" s="3"/>
      <c r="D45" s="4"/>
      <c r="E45" s="4"/>
      <c r="F45" s="4"/>
    </row>
    <row r="46" spans="1:7" x14ac:dyDescent="0.2">
      <c r="A46" s="2" t="str">
        <f>IF(ISBLANK(Schedule1!A46),"",Schedule1!A46)</f>
        <v/>
      </c>
      <c r="B46" s="2" t="str">
        <f>IF(ISBLANK(Schedule1!B46),"",Schedule1!B46)</f>
        <v/>
      </c>
      <c r="C46" s="3"/>
      <c r="D46" s="4"/>
      <c r="E46" s="4"/>
      <c r="F46" s="4"/>
    </row>
    <row r="47" spans="1:7" ht="22.5" x14ac:dyDescent="0.2">
      <c r="A47" s="91" t="str">
        <f>IF(ISBLANK(Schedule1!A47),"",Schedule1!A47)</f>
        <v xml:space="preserve">Note 3: </v>
      </c>
      <c r="B47" s="92" t="str">
        <f>IF(ISBLANK(Schedule1!B47),"",Schedule1!B47)</f>
        <v>Q_t Unit Price = (Unit Price x 0.01)
Incentive Amt = (Quantity x Q_t Unit Price)</v>
      </c>
      <c r="C47" s="3"/>
      <c r="D47" s="4"/>
      <c r="E47" s="4"/>
      <c r="F47" s="4"/>
    </row>
    <row r="48" spans="1:7" x14ac:dyDescent="0.2">
      <c r="A48" s="22" t="str">
        <f>IF(ISBLANK(Schedule1!A48),"",Schedule1!A48)</f>
        <v/>
      </c>
      <c r="B48" s="22" t="str">
        <f>IF(ISBLANK(Schedule1!B48),"",Schedule1!B48)</f>
        <v/>
      </c>
      <c r="C48" s="3"/>
      <c r="D48" s="4"/>
      <c r="E48" s="4"/>
      <c r="F48" s="4"/>
    </row>
    <row r="49" spans="1:7" x14ac:dyDescent="0.2">
      <c r="A49" s="93" t="str">
        <f>IF(ISBLANK(Schedule1!A49),"",Schedule1!A49)</f>
        <v xml:space="preserve">Note 4: </v>
      </c>
      <c r="B49" s="153" t="str">
        <f>IF(ISBLANK(Schedule1!B49),"",Schedule1!B49)</f>
        <v>Incentive Amt = (Lane-miles x 100,000 x 0.05)</v>
      </c>
      <c r="C49" s="3"/>
      <c r="D49" s="4"/>
      <c r="E49" s="4"/>
      <c r="F49" s="4"/>
      <c r="G49" s="84"/>
    </row>
    <row r="50" spans="1:7" x14ac:dyDescent="0.2">
      <c r="A50" s="2"/>
      <c r="B50" s="2"/>
      <c r="C50" s="3"/>
      <c r="D50" s="4"/>
      <c r="E50" s="4"/>
      <c r="F50" s="4"/>
    </row>
    <row r="51" spans="1:7" x14ac:dyDescent="0.2">
      <c r="A51" s="2"/>
      <c r="B51" s="2"/>
      <c r="C51" s="3"/>
      <c r="D51" s="4"/>
      <c r="E51" s="4"/>
      <c r="F51" s="4"/>
    </row>
    <row r="52" spans="1:7" ht="18" customHeight="1" thickBot="1" x14ac:dyDescent="0.3">
      <c r="A52" s="200" t="s">
        <v>78</v>
      </c>
      <c r="B52" s="200"/>
      <c r="C52" s="200"/>
      <c r="D52" s="200"/>
      <c r="E52" s="200"/>
      <c r="F52" s="200"/>
    </row>
    <row r="53" spans="1:7" ht="14.25" thickTop="1" thickBot="1" x14ac:dyDescent="0.25">
      <c r="A53" s="70"/>
      <c r="B53" s="96" t="s">
        <v>94</v>
      </c>
      <c r="C53" s="98" t="str">
        <f>FP</f>
        <v>FP-14</v>
      </c>
      <c r="D53" s="73"/>
      <c r="E53" s="73"/>
      <c r="F53" s="73"/>
    </row>
    <row r="54" spans="1:7" ht="19.5" thickTop="1" thickBot="1" x14ac:dyDescent="0.25">
      <c r="A54" s="70"/>
      <c r="B54" s="70"/>
      <c r="C54" s="74"/>
      <c r="D54" s="73"/>
      <c r="E54" s="64" t="s">
        <v>1</v>
      </c>
      <c r="F54" s="65">
        <f ca="1">Date</f>
        <v>45469</v>
      </c>
      <c r="G54" s="76"/>
    </row>
    <row r="55" spans="1:7" ht="19.5" thickTop="1" thickBot="1" x14ac:dyDescent="0.25">
      <c r="A55" s="61" t="s">
        <v>0</v>
      </c>
      <c r="B55" s="120" t="str">
        <f>ProjNum</f>
        <v>WA WFL Test(1)</v>
      </c>
      <c r="C55" s="99"/>
      <c r="D55" s="100"/>
      <c r="E55" s="66" t="s">
        <v>3</v>
      </c>
      <c r="F55" s="98" t="str">
        <f>SchedType</f>
        <v>Base</v>
      </c>
      <c r="G55" s="76"/>
    </row>
    <row r="56" spans="1:7" ht="19.5" thickTop="1" thickBot="1" x14ac:dyDescent="0.25">
      <c r="A56" s="61" t="s">
        <v>2</v>
      </c>
      <c r="B56" s="201" t="str">
        <f>ProjName</f>
        <v>Wafflehead Park Road</v>
      </c>
      <c r="C56" s="201"/>
      <c r="D56" s="201"/>
      <c r="E56" s="66" t="s">
        <v>5</v>
      </c>
      <c r="F56" s="98" t="str">
        <f>SchedLet</f>
        <v>C</v>
      </c>
      <c r="G56" s="76"/>
    </row>
    <row r="57" spans="1:7" ht="19.5" thickTop="1" thickBot="1" x14ac:dyDescent="0.25">
      <c r="A57" s="61"/>
      <c r="B57" s="75"/>
      <c r="C57" s="75"/>
      <c r="D57" s="75"/>
      <c r="E57" s="64" t="s">
        <v>7</v>
      </c>
      <c r="F57" s="98" t="str">
        <f>Units</f>
        <v>US CUSTOMARY</v>
      </c>
      <c r="G57" s="76"/>
    </row>
    <row r="58" spans="1:7" ht="14.25" thickTop="1" thickBot="1" x14ac:dyDescent="0.25">
      <c r="A58" s="2"/>
      <c r="B58" s="2"/>
      <c r="C58" s="3"/>
      <c r="D58" s="4"/>
      <c r="E58" s="6"/>
      <c r="F58" s="5"/>
    </row>
    <row r="59" spans="1:7" ht="18.75" thickBot="1" x14ac:dyDescent="0.25">
      <c r="A59" s="41" t="s">
        <v>20</v>
      </c>
      <c r="B59" s="42"/>
      <c r="C59" s="42"/>
      <c r="D59" s="42"/>
      <c r="E59" s="42"/>
      <c r="F59" s="43"/>
      <c r="G59" s="76"/>
    </row>
    <row r="60" spans="1:7" x14ac:dyDescent="0.2">
      <c r="A60" s="7"/>
      <c r="B60" s="23"/>
      <c r="C60" s="24"/>
      <c r="D60" s="24"/>
      <c r="E60" s="24"/>
      <c r="F60" s="24"/>
    </row>
    <row r="61" spans="1:7" x14ac:dyDescent="0.2">
      <c r="A61" s="135" t="str">
        <f>IF(ISBLANK(Schedule1!A61),"",Schedule1!A61)</f>
        <v>Section 204 –</v>
      </c>
      <c r="B61" s="136" t="str">
        <f>IF(ISBLANK(Schedule1!B61),"",Schedule1!B61)</f>
        <v>Excavation and Embankment</v>
      </c>
      <c r="C61" s="137" t="s">
        <v>21</v>
      </c>
      <c r="D61" s="138" t="str">
        <f>IF(Units="US CUSTOMARY"," CUYD"," m3")</f>
        <v xml:space="preserve"> CUYD</v>
      </c>
      <c r="E61" s="139" t="s">
        <v>22</v>
      </c>
      <c r="F61" s="24"/>
    </row>
    <row r="62" spans="1:7" x14ac:dyDescent="0.2">
      <c r="A62" s="130">
        <f>IF(ISBLANK(Schedule1!A62),"",Schedule1!A62)</f>
        <v>20401</v>
      </c>
      <c r="B62" s="131" t="str">
        <f>IF(ISBLANK(Schedule1!B62),"",Schedule1!B62)</f>
        <v>Roadway exacation</v>
      </c>
      <c r="C62" s="209">
        <f>Fuel204a</f>
        <v>0.3</v>
      </c>
      <c r="D62" s="196"/>
      <c r="E62" s="129" t="str">
        <f>IF(ISNUMBER(D62),+C$62*D62, "-")</f>
        <v>-</v>
      </c>
      <c r="F62" s="13"/>
    </row>
    <row r="63" spans="1:7" x14ac:dyDescent="0.2">
      <c r="A63" s="130">
        <f>IF(ISBLANK(Schedule1!A63),"",Schedule1!A63)</f>
        <v>20402</v>
      </c>
      <c r="B63" s="131" t="str">
        <f>IF(ISBLANK(Schedule1!B63),"",Schedule1!B63)</f>
        <v>Subexacation</v>
      </c>
      <c r="C63" s="209"/>
      <c r="D63" s="196"/>
      <c r="E63" s="129" t="str">
        <f>IF(ISNUMBER(D63),+C$62*D63, "-")</f>
        <v>-</v>
      </c>
      <c r="F63" s="13"/>
    </row>
    <row r="64" spans="1:7" x14ac:dyDescent="0.2">
      <c r="A64" s="130">
        <f>IF(ISBLANK(Schedule1!A64),"",Schedule1!A64)</f>
        <v>20403</v>
      </c>
      <c r="B64" s="131" t="str">
        <f>IF(ISBLANK(Schedule1!B64),"",Schedule1!B64)</f>
        <v>Unclassified borrow</v>
      </c>
      <c r="C64" s="209"/>
      <c r="D64" s="196"/>
      <c r="E64" s="129" t="str">
        <f>IF(ISNUMBER(D64),+C$62*D64, "-")</f>
        <v>-</v>
      </c>
      <c r="F64" s="13"/>
    </row>
    <row r="65" spans="1:6" x14ac:dyDescent="0.2">
      <c r="A65" s="130">
        <f>IF(ISBLANK(Schedule1!A65),"",Schedule1!A65)</f>
        <v>20420</v>
      </c>
      <c r="B65" s="131" t="str">
        <f>IF(ISBLANK(Schedule1!B65),"",Schedule1!B65)</f>
        <v>Embankment construction</v>
      </c>
      <c r="C65" s="209"/>
      <c r="D65" s="196"/>
      <c r="E65" s="129" t="str">
        <f>IF(ISNUMBER(D65),+C$62*D65, "-")</f>
        <v>-</v>
      </c>
      <c r="F65" s="13"/>
    </row>
    <row r="66" spans="1:6" x14ac:dyDescent="0.2">
      <c r="A66" s="130">
        <f>IF(ISBLANK(Schedule1!A66),"",Schedule1!A66)</f>
        <v>20421</v>
      </c>
      <c r="B66" s="131" t="str">
        <f>IF(ISBLANK(Schedule1!B66),"",Schedule1!B66)</f>
        <v>Rock excavation</v>
      </c>
      <c r="C66" s="209"/>
      <c r="D66" s="196"/>
      <c r="E66" s="129" t="str">
        <f>IF(ISNUMBER(D66),+C$62*D66, "-")</f>
        <v>-</v>
      </c>
      <c r="F66" s="13"/>
    </row>
    <row r="67" spans="1:6" x14ac:dyDescent="0.2">
      <c r="A67" s="135" t="str">
        <f>IF(ISBLANK(Schedule1!A67),"",Schedule1!A67)</f>
        <v>Section 204 –</v>
      </c>
      <c r="B67" s="136" t="str">
        <f>IF(ISBLANK(Schedule1!B67),"",Schedule1!B67)</f>
        <v>Excavation and Embankment</v>
      </c>
      <c r="C67" s="137" t="s">
        <v>21</v>
      </c>
      <c r="D67" s="138" t="str">
        <f>IF(Units="US CUSTOMARY"," Tons"," tonnes")</f>
        <v xml:space="preserve"> Tons</v>
      </c>
      <c r="E67" s="139" t="s">
        <v>22</v>
      </c>
      <c r="F67" s="24"/>
    </row>
    <row r="68" spans="1:6" x14ac:dyDescent="0.2">
      <c r="A68" s="130">
        <f>IF(ISBLANK(Schedule1!A68),"",Schedule1!A68)</f>
        <v>20410</v>
      </c>
      <c r="B68" s="131" t="str">
        <f>IF(ISBLANK(Schedule1!B68),"",Schedule1!B68)</f>
        <v>Select borrow*</v>
      </c>
      <c r="C68" s="209">
        <f>Fuel204b</f>
        <v>0.7</v>
      </c>
      <c r="D68" s="196"/>
      <c r="E68" s="129" t="str">
        <f>IF(ISNUMBER(D68),+C$68*D68, "-")</f>
        <v>-</v>
      </c>
      <c r="F68" s="13"/>
    </row>
    <row r="69" spans="1:6" x14ac:dyDescent="0.2">
      <c r="A69" s="130">
        <f>IF(ISBLANK(Schedule1!A69),"",Schedule1!A69)</f>
        <v>20411</v>
      </c>
      <c r="B69" s="131" t="str">
        <f>IF(ISBLANK(Schedule1!B69),"",Schedule1!B69)</f>
        <v>Select borrow</v>
      </c>
      <c r="C69" s="209"/>
      <c r="D69" s="196"/>
      <c r="E69" s="129" t="str">
        <f>IF(ISNUMBER(D69),+C$68*D69, "-")</f>
        <v>-</v>
      </c>
      <c r="F69" s="13"/>
    </row>
    <row r="70" spans="1:6" x14ac:dyDescent="0.2">
      <c r="A70" s="130" t="str">
        <f>IF(ISBLANK(Schedule1!A70),"",Schedule1!A70)</f>
        <v xml:space="preserve"> 20415</v>
      </c>
      <c r="B70" s="131" t="str">
        <f>IF(ISBLANK(Schedule1!B70),"",Schedule1!B70)</f>
        <v>Select topping*</v>
      </c>
      <c r="C70" s="209"/>
      <c r="D70" s="196"/>
      <c r="E70" s="129" t="str">
        <f>IF(ISNUMBER(D70),+C$68*D70, "-")</f>
        <v>-</v>
      </c>
      <c r="F70" s="13"/>
    </row>
    <row r="71" spans="1:6" x14ac:dyDescent="0.2">
      <c r="A71" s="130" t="str">
        <f>IF(ISBLANK(Schedule1!A71),"",Schedule1!A71)</f>
        <v xml:space="preserve"> 20416</v>
      </c>
      <c r="B71" s="131" t="str">
        <f>IF(ISBLANK(Schedule1!B71),"",Schedule1!B71)</f>
        <v>Select topping</v>
      </c>
      <c r="C71" s="209"/>
      <c r="D71" s="196"/>
      <c r="E71" s="129" t="str">
        <f>IF(ISNUMBER(D71),+C$68*D71, "-")</f>
        <v>-</v>
      </c>
      <c r="F71" s="13"/>
    </row>
    <row r="72" spans="1:6" x14ac:dyDescent="0.2">
      <c r="A72" s="135" t="str">
        <f>IF(ISBLANK(Schedule1!A72),"",Schedule1!A72)</f>
        <v>Section 301 –</v>
      </c>
      <c r="B72" s="136" t="str">
        <f>IF(ISBLANK(Schedule1!B72),"",Schedule1!B72)</f>
        <v>Untreated Aggregate Courses</v>
      </c>
      <c r="C72" s="137" t="s">
        <v>21</v>
      </c>
      <c r="D72" s="138" t="str">
        <f>IF(Units="US CUSTOMARY"," Tons"," tonnes")</f>
        <v xml:space="preserve"> Tons</v>
      </c>
      <c r="E72" s="139" t="s">
        <v>22</v>
      </c>
      <c r="F72" s="13"/>
    </row>
    <row r="73" spans="1:6" x14ac:dyDescent="0.2">
      <c r="A73" s="130">
        <f>IF(ISBLANK(Schedule1!A73),"",Schedule1!A73)</f>
        <v>30101</v>
      </c>
      <c r="B73" s="131" t="str">
        <f>IF(ISBLANK(Schedule1!B73),"",Schedule1!B73)</f>
        <v>Aggregate base</v>
      </c>
      <c r="C73" s="209">
        <f>Fuel301</f>
        <v>0.7</v>
      </c>
      <c r="D73" s="196"/>
      <c r="E73" s="129" t="str">
        <f t="shared" ref="E73:E80" si="3">IF(ISNUMBER(D73),+C$73*D73, "-")</f>
        <v>-</v>
      </c>
      <c r="F73" s="13"/>
    </row>
    <row r="74" spans="1:6" x14ac:dyDescent="0.2">
      <c r="A74" s="130">
        <f>IF(ISBLANK(Schedule1!A74),"",Schedule1!A74)</f>
        <v>30102</v>
      </c>
      <c r="B74" s="131" t="str">
        <f>IF(ISBLANK(Schedule1!B74),"",Schedule1!B74)</f>
        <v>Aggregate base*</v>
      </c>
      <c r="C74" s="209"/>
      <c r="D74" s="196"/>
      <c r="E74" s="129" t="str">
        <f t="shared" si="3"/>
        <v>-</v>
      </c>
      <c r="F74" s="13"/>
    </row>
    <row r="75" spans="1:6" x14ac:dyDescent="0.2">
      <c r="A75" s="130">
        <f>IF(ISBLANK(Schedule1!A75),"",Schedule1!A75)</f>
        <v>30103</v>
      </c>
      <c r="B75" s="131" t="str">
        <f>IF(ISBLANK(Schedule1!B75),"",Schedule1!B75)</f>
        <v>Aggregate base*</v>
      </c>
      <c r="C75" s="209"/>
      <c r="D75" s="196"/>
      <c r="E75" s="129" t="str">
        <f t="shared" si="3"/>
        <v>-</v>
      </c>
      <c r="F75" s="13"/>
    </row>
    <row r="76" spans="1:6" x14ac:dyDescent="0.2">
      <c r="A76" s="130">
        <f>IF(ISBLANK(Schedule1!A76),"",Schedule1!A76)</f>
        <v>30105</v>
      </c>
      <c r="B76" s="131" t="str">
        <f>IF(ISBLANK(Schedule1!B76),"",Schedule1!B76)</f>
        <v>Subbase</v>
      </c>
      <c r="C76" s="209"/>
      <c r="D76" s="196"/>
      <c r="E76" s="129" t="str">
        <f t="shared" si="3"/>
        <v>-</v>
      </c>
      <c r="F76" s="13"/>
    </row>
    <row r="77" spans="1:6" x14ac:dyDescent="0.2">
      <c r="A77" s="130">
        <f>IF(ISBLANK(Schedule1!A77),"",Schedule1!A77)</f>
        <v>30106</v>
      </c>
      <c r="B77" s="131" t="str">
        <f>IF(ISBLANK(Schedule1!B77),"",Schedule1!B77)</f>
        <v>Subbase*</v>
      </c>
      <c r="C77" s="209"/>
      <c r="D77" s="196"/>
      <c r="E77" s="129" t="str">
        <f t="shared" si="3"/>
        <v>-</v>
      </c>
      <c r="F77" s="13"/>
    </row>
    <row r="78" spans="1:6" x14ac:dyDescent="0.2">
      <c r="A78" s="130">
        <f>IF(ISBLANK(Schedule1!A78),"",Schedule1!A78)</f>
        <v>30107</v>
      </c>
      <c r="B78" s="131" t="str">
        <f>IF(ISBLANK(Schedule1!B78),"",Schedule1!B78)</f>
        <v>Subbase*</v>
      </c>
      <c r="C78" s="209"/>
      <c r="D78" s="196"/>
      <c r="E78" s="129" t="str">
        <f t="shared" si="3"/>
        <v>-</v>
      </c>
      <c r="F78" s="13"/>
    </row>
    <row r="79" spans="1:6" x14ac:dyDescent="0.2">
      <c r="A79" s="130">
        <f>IF(ISBLANK(Schedule1!A79),"",Schedule1!A79)</f>
        <v>30110</v>
      </c>
      <c r="B79" s="131" t="str">
        <f>IF(ISBLANK(Schedule1!B79),"",Schedule1!B79)</f>
        <v>Aggregate surface course</v>
      </c>
      <c r="C79" s="209"/>
      <c r="D79" s="196"/>
      <c r="E79" s="129" t="str">
        <f t="shared" si="3"/>
        <v>-</v>
      </c>
      <c r="F79" s="13"/>
    </row>
    <row r="80" spans="1:6" x14ac:dyDescent="0.2">
      <c r="A80" s="130">
        <f>IF(ISBLANK(Schedule1!A80),"",Schedule1!A80)</f>
        <v>30111</v>
      </c>
      <c r="B80" s="131" t="str">
        <f>IF(ISBLANK(Schedule1!B80),"",Schedule1!B80)</f>
        <v>Aggregate surface course*</v>
      </c>
      <c r="C80" s="209"/>
      <c r="D80" s="196"/>
      <c r="E80" s="129" t="str">
        <f t="shared" si="3"/>
        <v>-</v>
      </c>
      <c r="F80" s="13"/>
    </row>
    <row r="81" spans="1:6" x14ac:dyDescent="0.2">
      <c r="A81" s="125" t="str">
        <f>IF(ISBLANK(Schedule1!A81),"",Schedule1!A81)</f>
        <v>Section 302 –</v>
      </c>
      <c r="B81" s="140" t="str">
        <f>IF(ISBLANK(Schedule1!B81),"",Schedule1!B81)</f>
        <v>Minor Aggregate</v>
      </c>
      <c r="C81" s="107" t="s">
        <v>21</v>
      </c>
      <c r="D81" s="141" t="str">
        <f>IF(Units="US CUSTOMARY"," Tons"," tonnes")</f>
        <v xml:space="preserve"> Tons</v>
      </c>
      <c r="E81" s="142" t="s">
        <v>22</v>
      </c>
      <c r="F81" s="13"/>
    </row>
    <row r="82" spans="1:6" x14ac:dyDescent="0.2">
      <c r="A82" s="132">
        <f>IF(ISBLANK(Schedule1!A82),"",Schedule1!A82)</f>
        <v>30201</v>
      </c>
      <c r="B82" s="104" t="str">
        <f>IF(ISBLANK(Schedule1!B82),"",Schedule1!B82)</f>
        <v>Roadway Aggregate</v>
      </c>
      <c r="C82" s="202">
        <f>Fuel302</f>
        <v>0.7</v>
      </c>
      <c r="D82" s="32"/>
      <c r="E82" s="108" t="str">
        <f>IF(ISNUMBER(D82),+C$82*D82, "-")</f>
        <v>-</v>
      </c>
      <c r="F82" s="13"/>
    </row>
    <row r="83" spans="1:6" x14ac:dyDescent="0.2">
      <c r="A83" s="132">
        <f>IF(ISBLANK(Schedule1!A83),"",Schedule1!A83)</f>
        <v>30202</v>
      </c>
      <c r="B83" s="104" t="str">
        <f>IF(ISBLANK(Schedule1!B83),"",Schedule1!B83)</f>
        <v>Roadway Aggregate*</v>
      </c>
      <c r="C83" s="202"/>
      <c r="D83" s="32"/>
      <c r="E83" s="108" t="str">
        <f>IF(ISNUMBER(D83),+C$82*D83, "-")</f>
        <v>-</v>
      </c>
      <c r="F83" s="13"/>
    </row>
    <row r="84" spans="1:6" x14ac:dyDescent="0.2">
      <c r="A84" s="134" t="str">
        <f>IF(ISBLANK(Schedule1!A84),"",Schedule1!A84)</f>
        <v>Section 308 –</v>
      </c>
      <c r="B84" s="140" t="str">
        <f>IF(ISBLANK(Schedule1!B84),"",Schedule1!B84)</f>
        <v>Recycled Aggregate Base</v>
      </c>
      <c r="C84" s="107" t="s">
        <v>21</v>
      </c>
      <c r="D84" s="143" t="str">
        <f>IF(Units="US CUSTOMARY"," SQYD","m2")</f>
        <v xml:space="preserve"> SQYD</v>
      </c>
      <c r="E84" s="144" t="s">
        <v>22</v>
      </c>
      <c r="F84" s="13"/>
    </row>
    <row r="85" spans="1:6" x14ac:dyDescent="0.2">
      <c r="A85" s="133" t="str">
        <f>IF(ISBLANK(Schedule1!A85),"",Schedule1!A85)</f>
        <v>30801</v>
      </c>
      <c r="B85" s="104" t="str">
        <f>IF(ISBLANK(Schedule1!B85),"",Schedule1!B85)</f>
        <v>Recycled aggregate base</v>
      </c>
      <c r="C85" s="204">
        <f>Fuel308</f>
        <v>0.1</v>
      </c>
      <c r="D85" s="34"/>
      <c r="E85" s="108" t="str">
        <f>IF(ISNUMBER(D85),+C$85*D85, "-")</f>
        <v>-</v>
      </c>
      <c r="F85" s="13"/>
    </row>
    <row r="86" spans="1:6" x14ac:dyDescent="0.2">
      <c r="A86" s="133" t="str">
        <f>IF(ISBLANK(Schedule1!A86),"",Schedule1!A86)</f>
        <v>30802</v>
      </c>
      <c r="B86" s="104" t="str">
        <f>IF(ISBLANK(Schedule1!B86),"",Schedule1!B86)</f>
        <v>Recycled aggregate base*</v>
      </c>
      <c r="C86" s="202"/>
      <c r="D86" s="34"/>
      <c r="E86" s="108" t="str">
        <f>IF(ISNUMBER(D86),+C$85*D86, "-")</f>
        <v>-</v>
      </c>
      <c r="F86" s="13"/>
    </row>
    <row r="87" spans="1:6" x14ac:dyDescent="0.2">
      <c r="A87" s="133" t="str">
        <f>IF(ISBLANK(Schedule1!A87),"",Schedule1!A87)</f>
        <v>30803</v>
      </c>
      <c r="B87" s="104" t="str">
        <f>IF(ISBLANK(Schedule1!B87),"",Schedule1!B87)</f>
        <v>Recycled aggregate base*</v>
      </c>
      <c r="C87" s="202"/>
      <c r="D87" s="34"/>
      <c r="E87" s="108" t="str">
        <f>IF(ISNUMBER(D87),+C$85*D87, "-")</f>
        <v>-</v>
      </c>
      <c r="F87" s="13"/>
    </row>
    <row r="88" spans="1:6" x14ac:dyDescent="0.2">
      <c r="A88" s="134" t="str">
        <f>IF(ISBLANK(Schedule1!A88),"",Schedule1!A88)</f>
        <v>Section 309 –</v>
      </c>
      <c r="B88" s="140" t="str">
        <f>IF(ISBLANK(Schedule1!B88),"",Schedule1!B88)</f>
        <v>Emulsified Asphalt Treated Base Course</v>
      </c>
      <c r="C88" s="107" t="s">
        <v>21</v>
      </c>
      <c r="D88" s="143" t="str">
        <f>IF(Units="US CUSTOMARY"," Tons","tonnes")</f>
        <v xml:space="preserve"> Tons</v>
      </c>
      <c r="E88" s="144" t="s">
        <v>22</v>
      </c>
      <c r="F88" s="13"/>
    </row>
    <row r="89" spans="1:6" x14ac:dyDescent="0.2">
      <c r="A89" s="133">
        <f>IF(ISBLANK(Schedule1!A89),"",Schedule1!A89)</f>
        <v>30901</v>
      </c>
      <c r="B89" s="104" t="str">
        <f>IF(ISBLANK(Schedule1!B89),"",Schedule1!B89)</f>
        <v>Emulsified asphalt treated aggregate base</v>
      </c>
      <c r="C89" s="204">
        <f>Fuel309</f>
        <v>0.7</v>
      </c>
      <c r="D89" s="34"/>
      <c r="E89" s="108" t="str">
        <f>IF(ISNUMBER(D89),+C$89*D89, "-")</f>
        <v>-</v>
      </c>
      <c r="F89" s="13"/>
    </row>
    <row r="90" spans="1:6" x14ac:dyDescent="0.2">
      <c r="A90" s="133">
        <f>IF(ISBLANK(Schedule1!A90),"",Schedule1!A90)</f>
        <v>30902</v>
      </c>
      <c r="B90" s="104" t="str">
        <f>IF(ISBLANK(Schedule1!B90),"",Schedule1!B90)</f>
        <v>Emulsified asphalt treated aggregate base*</v>
      </c>
      <c r="C90" s="202"/>
      <c r="D90" s="34"/>
      <c r="E90" s="108" t="str">
        <f>IF(ISNUMBER(D90),+C$89*D90, "-")</f>
        <v>-</v>
      </c>
      <c r="F90" s="13"/>
    </row>
    <row r="91" spans="1:6" x14ac:dyDescent="0.2">
      <c r="A91" s="133">
        <f>IF(ISBLANK(Schedule1!A91),"",Schedule1!A91)</f>
        <v>30903</v>
      </c>
      <c r="B91" s="104" t="str">
        <f>IF(ISBLANK(Schedule1!B91),"",Schedule1!B91)</f>
        <v>Emulsified asphalt treated aggregate base*</v>
      </c>
      <c r="C91" s="202"/>
      <c r="D91" s="34"/>
      <c r="E91" s="108" t="str">
        <f>IF(ISNUMBER(D91),+C$89*D91, "-")</f>
        <v>-</v>
      </c>
      <c r="F91" s="13"/>
    </row>
    <row r="92" spans="1:6" x14ac:dyDescent="0.2">
      <c r="A92" s="134" t="str">
        <f>IF(ISBLANK(Schedule1!A92),"",Schedule1!A92)</f>
        <v>Section 310 –</v>
      </c>
      <c r="B92" s="140" t="str">
        <f>IF(ISBLANK(Schedule1!B92),"",Schedule1!B92)</f>
        <v>Cold In-Place (CIP) Recycled Asphalt Base</v>
      </c>
      <c r="C92" s="107" t="s">
        <v>21</v>
      </c>
      <c r="D92" s="143" t="str">
        <f>IF(Units="US CUSTOMARY"," SQYD","m2")</f>
        <v xml:space="preserve"> SQYD</v>
      </c>
      <c r="E92" s="144" t="s">
        <v>22</v>
      </c>
      <c r="F92" s="13"/>
    </row>
    <row r="93" spans="1:6" x14ac:dyDescent="0.2">
      <c r="A93" s="133">
        <f>IF(ISBLANK(Schedule1!A93),"",Schedule1!A93)</f>
        <v>31001</v>
      </c>
      <c r="B93" s="104" t="str">
        <f>IF(ISBLANK(Schedule1!B93),"",Schedule1!B93)</f>
        <v>CIP recycled ashalt base*</v>
      </c>
      <c r="C93" s="202">
        <f>Fuel310</f>
        <v>0.15</v>
      </c>
      <c r="D93" s="34"/>
      <c r="E93" s="108" t="str">
        <f>IF(ISNUMBER(D93),+C$93*D93, "-")</f>
        <v>-</v>
      </c>
      <c r="F93" s="13"/>
    </row>
    <row r="94" spans="1:6" x14ac:dyDescent="0.2">
      <c r="A94" s="133">
        <f>IF(ISBLANK(Schedule1!A94),"",Schedule1!A94)</f>
        <v>31002</v>
      </c>
      <c r="B94" s="55" t="str">
        <f>IF(ISBLANK(Schedule1!B94),"",Schedule1!B94)</f>
        <v>CIP recycled ashalt base</v>
      </c>
      <c r="C94" s="202"/>
      <c r="D94" s="34"/>
      <c r="E94" s="108" t="str">
        <f>IF(ISNUMBER(D94),+C$93*D94, "-")</f>
        <v>-</v>
      </c>
      <c r="F94" s="13"/>
    </row>
    <row r="95" spans="1:6" x14ac:dyDescent="0.2">
      <c r="A95" s="134" t="str">
        <f>IF(ISBLANK(Schedule1!A95),"",Schedule1!A95)</f>
        <v>Section 311 –</v>
      </c>
      <c r="B95" s="140" t="str">
        <f>IF(ISBLANK(Schedule1!B95),"",Schedule1!B95)</f>
        <v>Stabilized Aggregate Base Course</v>
      </c>
      <c r="C95" s="107" t="s">
        <v>21</v>
      </c>
      <c r="D95" s="143" t="str">
        <f>IF(Units="US CUSTOMARY"," Tons"," tonnes")</f>
        <v xml:space="preserve"> Tons</v>
      </c>
      <c r="E95" s="144" t="s">
        <v>22</v>
      </c>
      <c r="F95" s="13"/>
    </row>
    <row r="96" spans="1:6" ht="22.5" x14ac:dyDescent="0.2">
      <c r="A96" s="133" t="str">
        <f>IF(ISBLANK(Schedule1!A96),"",Schedule1!A96)</f>
        <v>31101</v>
      </c>
      <c r="B96" s="55" t="str">
        <f>IF(ISBLANK(Schedule1!B96),"",Schedule1!B96)</f>
        <v>Stabilized aggregate surface course*,imported aggregate*</v>
      </c>
      <c r="C96" s="197">
        <f>Fuel311</f>
        <v>0.7</v>
      </c>
      <c r="D96" s="34"/>
      <c r="E96" s="108" t="str">
        <f>IF(ISNUMBER(D96),+C$96*D96, "-")</f>
        <v>-</v>
      </c>
      <c r="F96" s="13"/>
    </row>
    <row r="97" spans="1:6" ht="22.5" x14ac:dyDescent="0.2">
      <c r="A97" s="133">
        <f>IF(ISBLANK(Schedule1!A97),"",Schedule1!A97)</f>
        <v>31101</v>
      </c>
      <c r="B97" s="55" t="str">
        <f>IF(ISBLANK(Schedule1!B97),"",Schedule1!B97)</f>
        <v>Stabilized aggregate surface course*,in-place aggregate*</v>
      </c>
      <c r="C97" s="197"/>
      <c r="D97" s="34"/>
      <c r="E97" s="108" t="str">
        <f>IF(ISNUMBER(D97),+C$96*D97, "-")</f>
        <v>-</v>
      </c>
      <c r="F97" s="13"/>
    </row>
    <row r="98" spans="1:6" ht="22.5" x14ac:dyDescent="0.2">
      <c r="A98" s="133" t="str">
        <f>IF(ISBLANK(Schedule1!A98),"",Schedule1!A98)</f>
        <v>31102</v>
      </c>
      <c r="B98" s="55" t="str">
        <f>IF(ISBLANK(Schedule1!B98),"",Schedule1!B98)</f>
        <v>Stabilized aggregate surface course*,imported aggregate*</v>
      </c>
      <c r="C98" s="197"/>
      <c r="D98" s="34"/>
      <c r="E98" s="108" t="str">
        <f>IF(ISNUMBER(D98),+C$96*D98, "-")</f>
        <v>-</v>
      </c>
      <c r="F98" s="13"/>
    </row>
    <row r="99" spans="1:6" ht="22.5" x14ac:dyDescent="0.2">
      <c r="A99" s="133">
        <f>IF(ISBLANK(Schedule1!A99),"",Schedule1!A99)</f>
        <v>31102</v>
      </c>
      <c r="B99" s="55" t="str">
        <f>IF(ISBLANK(Schedule1!B99),"",Schedule1!B99)</f>
        <v>Stabilized aggregate surface course*,in-place aggregate*</v>
      </c>
      <c r="C99" s="197"/>
      <c r="D99" s="34"/>
      <c r="E99" s="108" t="str">
        <f>IF(ISNUMBER(D99),+C$96*D99, "-")</f>
        <v>-</v>
      </c>
      <c r="F99" s="13"/>
    </row>
    <row r="100" spans="1:6" x14ac:dyDescent="0.2">
      <c r="A100" s="133" t="str">
        <f>IF(ISBLANK(Schedule1!A100),"",Schedule1!A100)</f>
        <v>31103</v>
      </c>
      <c r="B100" s="55" t="str">
        <f>IF(ISBLANK(Schedule1!B100),"",Schedule1!B100)</f>
        <v>Stabilized aggregate surface course*</v>
      </c>
      <c r="C100" s="203"/>
      <c r="D100" s="34"/>
      <c r="E100" s="108" t="str">
        <f>IF(ISNUMBER(D100),+C$96*D100, "-")</f>
        <v>-</v>
      </c>
      <c r="F100" s="13"/>
    </row>
    <row r="101" spans="1:6" x14ac:dyDescent="0.2">
      <c r="A101" s="134" t="str">
        <f>IF(ISBLANK(Schedule1!A101),"",Schedule1!A101)</f>
        <v>Section 401 –</v>
      </c>
      <c r="B101" s="140" t="str">
        <f>IF(ISBLANK(Schedule1!B101),"",Schedule1!B101)</f>
        <v>ACP by Gyratory Mix Design Method</v>
      </c>
      <c r="C101" s="126" t="s">
        <v>21</v>
      </c>
      <c r="D101" s="128" t="str">
        <f>IF(Units="US CUSTOMARY"," Tons"," tonnes")</f>
        <v xml:space="preserve"> Tons</v>
      </c>
      <c r="E101" s="127" t="s">
        <v>22</v>
      </c>
      <c r="F101" s="13"/>
    </row>
    <row r="102" spans="1:6" x14ac:dyDescent="0.2">
      <c r="A102" s="133" t="str">
        <f>IF(ISBLANK(Schedule1!A102),"",Schedule1!A102)</f>
        <v>40101</v>
      </c>
      <c r="B102" s="104" t="str">
        <f>IF(ISBLANK(Schedule1!B102),"",Schedule1!B102)</f>
        <v>Asphalt concrete pavement, gyratory mix</v>
      </c>
      <c r="C102" s="197">
        <f>Fuel401</f>
        <v>2.4</v>
      </c>
      <c r="D102" s="34"/>
      <c r="E102" s="105" t="str">
        <f>IF(ISNUMBER(D102),+C$102*D102, "-")</f>
        <v>-</v>
      </c>
      <c r="F102" s="13"/>
    </row>
    <row r="103" spans="1:6" ht="22.5" x14ac:dyDescent="0.2">
      <c r="A103" s="133" t="str">
        <f>IF(ISBLANK(Schedule1!A103),"",Schedule1!A103)</f>
        <v>40102</v>
      </c>
      <c r="B103" s="55" t="str">
        <f>IF(ISBLANK(Schedule1!B103),"",Schedule1!B103)</f>
        <v>Asphalt concrete pavement, gyratory mix, wedged and leveling</v>
      </c>
      <c r="C103" s="197"/>
      <c r="D103" s="34"/>
      <c r="E103" s="105" t="str">
        <f>IF(ISNUMBER(D103),+C$102*D103, "-")</f>
        <v>-</v>
      </c>
      <c r="F103" s="13"/>
    </row>
    <row r="104" spans="1:6" ht="24" x14ac:dyDescent="0.2">
      <c r="A104" s="145" t="str">
        <f>IF(ISBLANK(Schedule1!A104),"",Schedule1!A104)</f>
        <v>Section 402 –</v>
      </c>
      <c r="B104" s="147" t="str">
        <f>IF(ISBLANK(Schedule1!B104),"",Schedule1!B104)</f>
        <v>ACP by Hveem or Marshall Mix Design Method</v>
      </c>
      <c r="C104" s="33" t="s">
        <v>21</v>
      </c>
      <c r="D104" s="143" t="str">
        <f>IF(Units="US CUSTOMARY"," Tons"," tonnes")</f>
        <v xml:space="preserve"> Tons</v>
      </c>
      <c r="E104" s="146" t="s">
        <v>22</v>
      </c>
      <c r="F104" s="13"/>
    </row>
    <row r="105" spans="1:6" x14ac:dyDescent="0.2">
      <c r="A105" s="133" t="str">
        <f>IF(ISBLANK(Schedule1!A105),"",Schedule1!A105)</f>
        <v>40201</v>
      </c>
      <c r="B105" s="104" t="str">
        <f>IF(ISBLANK(Schedule1!B105),"",Schedule1!B105)</f>
        <v>ACP Hveem or Marshall Mix Design Method</v>
      </c>
      <c r="C105" s="197">
        <f>Fuel402</f>
        <v>2.4</v>
      </c>
      <c r="D105" s="34"/>
      <c r="E105" s="105" t="str">
        <f>IF(ISNUMBER(D105),+C$105*D105, "-")</f>
        <v>-</v>
      </c>
      <c r="F105" s="13"/>
    </row>
    <row r="106" spans="1:6" ht="22.5" x14ac:dyDescent="0.2">
      <c r="A106" s="133" t="str">
        <f>IF(ISBLANK(Schedule1!A106),"",Schedule1!A106)</f>
        <v>40202</v>
      </c>
      <c r="B106" s="55" t="str">
        <f>IF(ISBLANK(Schedule1!B106),"",Schedule1!B106)</f>
        <v>ACP Hveen or Marshall Mix, wedge and leveling course</v>
      </c>
      <c r="C106" s="197"/>
      <c r="D106" s="34"/>
      <c r="E106" s="105" t="str">
        <f>IF(ISNUMBER(D106),+C$105*D106, "-")</f>
        <v>-</v>
      </c>
      <c r="F106" s="13"/>
    </row>
    <row r="107" spans="1:6" x14ac:dyDescent="0.2">
      <c r="A107" s="145" t="str">
        <f>IF(ISBLANK(Schedule1!A107),"",Schedule1!A107)</f>
        <v>Section 403 –</v>
      </c>
      <c r="B107" s="147" t="str">
        <f>IF(ISBLANK(Schedule1!B107),"",Schedule1!B107)</f>
        <v>Asphalt Concrete</v>
      </c>
      <c r="C107" s="33" t="s">
        <v>21</v>
      </c>
      <c r="D107" s="143" t="str">
        <f>IF(Units="US CUSTOMARY"," Tons"," tonnes")</f>
        <v xml:space="preserve"> Tons</v>
      </c>
      <c r="E107" s="146" t="s">
        <v>22</v>
      </c>
      <c r="F107" s="13"/>
    </row>
    <row r="108" spans="1:6" x14ac:dyDescent="0.2">
      <c r="A108" s="133">
        <f>IF(ISBLANK(Schedule1!A108),"",Schedule1!A108)</f>
        <v>40301</v>
      </c>
      <c r="B108" s="104" t="str">
        <f>IF(ISBLANK(Schedule1!B108),"",Schedule1!B108)</f>
        <v>Asphalt concrete pavement</v>
      </c>
      <c r="C108" s="197">
        <f>Fuel403</f>
        <v>2.4</v>
      </c>
      <c r="D108" s="34"/>
      <c r="E108" s="105" t="str">
        <f>IF(ISNUMBER(D108),+C$108*D108, "-")</f>
        <v>-</v>
      </c>
      <c r="F108" s="13"/>
    </row>
    <row r="109" spans="1:6" x14ac:dyDescent="0.2">
      <c r="A109" s="133">
        <f>IF(ISBLANK(Schedule1!A109),"",Schedule1!A109)</f>
        <v>40302</v>
      </c>
      <c r="B109" s="104" t="str">
        <f>IF(ISBLANK(Schedule1!B109),"",Schedule1!B109)</f>
        <v>Asphalt concrete pavement*</v>
      </c>
      <c r="C109" s="197"/>
      <c r="D109" s="34"/>
      <c r="E109" s="105" t="str">
        <f>IF(ISNUMBER(D109),+C$108*D109, "-")</f>
        <v>-</v>
      </c>
      <c r="F109" s="13"/>
    </row>
    <row r="110" spans="1:6" ht="22.5" x14ac:dyDescent="0.2">
      <c r="A110" s="133">
        <f>IF(ISBLANK(Schedule1!A110),"",Schedule1!A110)</f>
        <v>40303</v>
      </c>
      <c r="B110" s="55" t="str">
        <f>IF(ISBLANK(Schedule1!B110),"",Schedule1!B110)</f>
        <v>Asphalt concrete pavement, wedge and leveling course</v>
      </c>
      <c r="C110" s="197"/>
      <c r="D110" s="34"/>
      <c r="E110" s="105" t="str">
        <f>IF(ISNUMBER(D110),+C$108*D110, "-")</f>
        <v>-</v>
      </c>
      <c r="F110" s="13"/>
    </row>
    <row r="111" spans="1:6" ht="12.75" customHeight="1" x14ac:dyDescent="0.2">
      <c r="A111" s="101"/>
      <c r="B111" s="35"/>
      <c r="C111" s="49"/>
      <c r="D111" s="46"/>
      <c r="E111" s="24"/>
      <c r="F111" s="24"/>
    </row>
    <row r="112" spans="1:6" ht="18.75" thickBot="1" x14ac:dyDescent="0.3">
      <c r="A112" s="200" t="s">
        <v>78</v>
      </c>
      <c r="B112" s="200"/>
      <c r="C112" s="200"/>
      <c r="D112" s="200"/>
      <c r="E112" s="200"/>
      <c r="F112" s="200"/>
    </row>
    <row r="113" spans="1:6" ht="14.25" thickTop="1" thickBot="1" x14ac:dyDescent="0.25">
      <c r="A113" s="70"/>
      <c r="B113" s="96" t="s">
        <v>94</v>
      </c>
      <c r="C113" s="98" t="str">
        <f>FP</f>
        <v>FP-14</v>
      </c>
      <c r="D113" s="73"/>
      <c r="E113" s="73"/>
      <c r="F113" s="73"/>
    </row>
    <row r="114" spans="1:6" ht="14.25" thickTop="1" thickBot="1" x14ac:dyDescent="0.25">
      <c r="A114" s="70"/>
      <c r="B114" s="70"/>
      <c r="C114" s="74"/>
      <c r="D114" s="73"/>
      <c r="E114" s="64" t="s">
        <v>1</v>
      </c>
      <c r="F114" s="65">
        <f ca="1">Date</f>
        <v>45469</v>
      </c>
    </row>
    <row r="115" spans="1:6" ht="14.25" thickTop="1" thickBot="1" x14ac:dyDescent="0.25">
      <c r="A115" s="61" t="s">
        <v>0</v>
      </c>
      <c r="B115" s="120" t="str">
        <f>ProjNum</f>
        <v>WA WFL Test(1)</v>
      </c>
      <c r="C115" s="99"/>
      <c r="D115" s="100"/>
      <c r="E115" s="66" t="s">
        <v>3</v>
      </c>
      <c r="F115" s="98" t="str">
        <f>SchedType</f>
        <v>Base</v>
      </c>
    </row>
    <row r="116" spans="1:6" ht="14.25" thickTop="1" thickBot="1" x14ac:dyDescent="0.25">
      <c r="A116" s="61" t="s">
        <v>2</v>
      </c>
      <c r="B116" s="201" t="str">
        <f>ProjName</f>
        <v>Wafflehead Park Road</v>
      </c>
      <c r="C116" s="201"/>
      <c r="D116" s="201"/>
      <c r="E116" s="66" t="s">
        <v>5</v>
      </c>
      <c r="F116" s="98" t="str">
        <f>SchedLet</f>
        <v>C</v>
      </c>
    </row>
    <row r="117" spans="1:6" ht="14.25" thickTop="1" thickBot="1" x14ac:dyDescent="0.25">
      <c r="A117" s="61"/>
      <c r="B117" s="75"/>
      <c r="C117" s="75"/>
      <c r="D117" s="75"/>
      <c r="E117" s="64" t="s">
        <v>7</v>
      </c>
      <c r="F117" s="98" t="str">
        <f>Units</f>
        <v>US CUSTOMARY</v>
      </c>
    </row>
    <row r="118" spans="1:6" ht="14.25" thickTop="1" thickBot="1" x14ac:dyDescent="0.25">
      <c r="A118" s="2"/>
      <c r="B118" s="2"/>
      <c r="C118" s="3"/>
      <c r="D118" s="4"/>
      <c r="E118" s="6"/>
      <c r="F118" s="5"/>
    </row>
    <row r="119" spans="1:6" ht="19.5" customHeight="1" thickBot="1" x14ac:dyDescent="0.25">
      <c r="A119" s="41" t="s">
        <v>45</v>
      </c>
      <c r="B119" s="42"/>
      <c r="C119" s="42"/>
      <c r="D119" s="42"/>
      <c r="E119" s="42"/>
      <c r="F119" s="43"/>
    </row>
    <row r="120" spans="1:6" x14ac:dyDescent="0.2">
      <c r="A120" s="7"/>
      <c r="B120" s="23"/>
      <c r="C120" s="24"/>
      <c r="D120" s="24"/>
      <c r="E120" s="24"/>
      <c r="F120" s="24"/>
    </row>
    <row r="121" spans="1:6" ht="15" customHeight="1" x14ac:dyDescent="0.2">
      <c r="A121" s="145" t="str">
        <f>IF(ISBLANK(Schedule1!A121),"",Schedule1!A121)</f>
        <v>Section 404 –</v>
      </c>
      <c r="B121" s="147" t="str">
        <f>IF(ISBLANK(Schedule1!B121),"",Schedule1!B121)</f>
        <v>RESERVED</v>
      </c>
      <c r="C121" s="33" t="s">
        <v>21</v>
      </c>
      <c r="D121" s="143" t="str">
        <f>IF(Units="US CUSTOMARY"," Tons"," tonnes")</f>
        <v xml:space="preserve"> Tons</v>
      </c>
      <c r="E121" s="146" t="s">
        <v>22</v>
      </c>
      <c r="F121" s="24"/>
    </row>
    <row r="122" spans="1:6" x14ac:dyDescent="0.2">
      <c r="A122" s="33" t="str">
        <f>IF(ISBLANK(Schedule1!A122),"",Schedule1!A122)</f>
        <v>-</v>
      </c>
      <c r="B122" s="104" t="str">
        <f>IF(ISBLANK(Schedule1!B122),"",Schedule1!B122)</f>
        <v>-</v>
      </c>
      <c r="C122" s="198">
        <f>Fuel404</f>
        <v>2.4</v>
      </c>
      <c r="D122" s="34"/>
      <c r="E122" s="105" t="str">
        <f>IF(ISNUMBER(D122),+C$122*D122, "-")</f>
        <v>-</v>
      </c>
      <c r="F122" s="24"/>
    </row>
    <row r="123" spans="1:6" x14ac:dyDescent="0.2">
      <c r="A123" s="33" t="str">
        <f>IF(ISBLANK(Schedule1!A123),"",Schedule1!A123)</f>
        <v>-</v>
      </c>
      <c r="B123" s="104" t="str">
        <f>IF(ISBLANK(Schedule1!B123),"",Schedule1!B123)</f>
        <v>-</v>
      </c>
      <c r="C123" s="199"/>
      <c r="D123" s="34"/>
      <c r="E123" s="105" t="str">
        <f>IF(ISNUMBER(D123),+C$122*D123, "-")</f>
        <v>-</v>
      </c>
      <c r="F123" s="24"/>
    </row>
    <row r="124" spans="1:6" ht="15" customHeight="1" x14ac:dyDescent="0.2">
      <c r="A124" s="145" t="str">
        <f>IF(ISBLANK(Schedule1!A124),"",Schedule1!A124)</f>
        <v>Section 405 –</v>
      </c>
      <c r="B124" s="147" t="str">
        <f>IF(ISBLANK(Schedule1!B124),"",Schedule1!B124)</f>
        <v>Open-Graded Asphalt Friction</v>
      </c>
      <c r="C124" s="33" t="s">
        <v>21</v>
      </c>
      <c r="D124" s="143" t="str">
        <f>IF(Units="US CUSTOMARY"," Tons"," tonnes")</f>
        <v xml:space="preserve"> Tons</v>
      </c>
      <c r="E124" s="146" t="s">
        <v>22</v>
      </c>
      <c r="F124" s="24"/>
    </row>
    <row r="125" spans="1:6" ht="15" x14ac:dyDescent="0.2">
      <c r="A125" s="33">
        <f>IF(ISBLANK(Schedule1!A125),"",Schedule1!A125)</f>
        <v>40501</v>
      </c>
      <c r="B125" s="106" t="str">
        <f>IF(ISBLANK(Schedule1!B125),"",Schedule1!B125)</f>
        <v>Open-graded asphalt friction course</v>
      </c>
      <c r="C125" s="121">
        <f>Fuel405</f>
        <v>2.4</v>
      </c>
      <c r="D125" s="34"/>
      <c r="E125" s="105" t="str">
        <f>IF(ISNUMBER(D125),+C$125*D125, "-")</f>
        <v>-</v>
      </c>
      <c r="F125" s="24"/>
    </row>
    <row r="126" spans="1:6" ht="15" customHeight="1" x14ac:dyDescent="0.2">
      <c r="A126" s="145" t="str">
        <f>IF(ISBLANK(Schedule1!A126),"",Schedule1!A126)</f>
        <v>Section 408 –</v>
      </c>
      <c r="B126" s="147" t="str">
        <f>IF(ISBLANK(Schedule1!B126),"",Schedule1!B126)</f>
        <v>Cold Recycled Asphalt Base Course</v>
      </c>
      <c r="C126" s="33" t="s">
        <v>21</v>
      </c>
      <c r="D126" s="143" t="str">
        <f>IF(Units="US CUSTOMARY"," Tons"," tonnes")</f>
        <v xml:space="preserve"> Tons</v>
      </c>
      <c r="E126" s="146" t="s">
        <v>22</v>
      </c>
      <c r="F126" s="13"/>
    </row>
    <row r="127" spans="1:6" ht="12.75" customHeight="1" x14ac:dyDescent="0.2">
      <c r="A127" s="33" t="str">
        <f>IF(ISBLANK(Schedule1!A127),"",Schedule1!A127)</f>
        <v>40801</v>
      </c>
      <c r="B127" s="104" t="str">
        <f>IF(ISBLANK(Schedule1!B127),"",Schedule1!B127)</f>
        <v>Cold recycled asphalt base course</v>
      </c>
      <c r="C127" s="198">
        <f>Fuel408</f>
        <v>0.7</v>
      </c>
      <c r="D127" s="34"/>
      <c r="E127" s="105" t="str">
        <f>IF(ISNUMBER(D127),+C$127*D127, "-")</f>
        <v>-</v>
      </c>
      <c r="F127" s="13"/>
    </row>
    <row r="128" spans="1:6" ht="12.75" customHeight="1" x14ac:dyDescent="0.2">
      <c r="A128" s="33" t="str">
        <f>IF(ISBLANK(Schedule1!A128),"",Schedule1!A128)</f>
        <v>40802</v>
      </c>
      <c r="B128" s="104" t="str">
        <f>IF(ISBLANK(Schedule1!B128),"",Schedule1!B128)</f>
        <v>Cold recycled asphalt base course*</v>
      </c>
      <c r="C128" s="199"/>
      <c r="D128" s="34"/>
      <c r="E128" s="105" t="str">
        <f>IF(ISNUMBER(D128),+C$127*D128, "-")</f>
        <v>-</v>
      </c>
      <c r="F128" s="13"/>
    </row>
    <row r="129" spans="1:7" ht="15" customHeight="1" x14ac:dyDescent="0.2">
      <c r="A129" s="145" t="str">
        <f>IF(ISBLANK(Schedule1!A129),"",Schedule1!A129)</f>
        <v>Section 501 –</v>
      </c>
      <c r="B129" s="147" t="str">
        <f>IF(ISBLANK(Schedule1!B129),"",Schedule1!B129)</f>
        <v>Minor Concrete Pavement</v>
      </c>
      <c r="C129" s="33" t="s">
        <v>21</v>
      </c>
      <c r="D129" s="143" t="str">
        <f>IF(Units="US CUSTOMARY"," SQYD","m2")</f>
        <v xml:space="preserve"> SQYD</v>
      </c>
      <c r="E129" s="146" t="s">
        <v>22</v>
      </c>
      <c r="F129" s="13"/>
    </row>
    <row r="130" spans="1:7" ht="12.75" customHeight="1" x14ac:dyDescent="0.2">
      <c r="A130" s="33">
        <f>IF(ISBLANK(Schedule1!A130),"",Schedule1!A130)</f>
        <v>50101</v>
      </c>
      <c r="B130" s="104" t="str">
        <f>IF(ISBLANK(Schedule1!B130),"",Schedule1!B130)</f>
        <v>Minor concrete pacement, reinforced</v>
      </c>
      <c r="C130" s="198">
        <f>Fuel501</f>
        <v>0.6</v>
      </c>
      <c r="D130" s="34"/>
      <c r="E130" s="105" t="str">
        <f>IF(ISNUMBER(D130),+C$130*D130, "-")</f>
        <v>-</v>
      </c>
      <c r="F130" s="13"/>
    </row>
    <row r="131" spans="1:7" ht="12.75" customHeight="1" x14ac:dyDescent="0.2">
      <c r="A131" s="33">
        <f>IF(ISBLANK(Schedule1!A131),"",Schedule1!A131)</f>
        <v>50102</v>
      </c>
      <c r="B131" s="104" t="str">
        <f>IF(ISBLANK(Schedule1!B131),"",Schedule1!B131)</f>
        <v>Minor concrete pavement, plain</v>
      </c>
      <c r="C131" s="199"/>
      <c r="D131" s="34"/>
      <c r="E131" s="105" t="str">
        <f>IF(ISNUMBER(D131),+C$130*D131, "-")</f>
        <v>-</v>
      </c>
      <c r="F131" s="13"/>
    </row>
    <row r="132" spans="1:7" ht="12.75" customHeight="1" x14ac:dyDescent="0.2">
      <c r="A132" s="154" t="str">
        <f>IF(ISBLANK(Schedule1!A132),"",Schedule1!A132)</f>
        <v>* The Government, to agree with the units associated with the applicable Fuel Usage Factor, will convert work quantities, as necessary.</v>
      </c>
      <c r="B132" s="25"/>
      <c r="C132" s="26"/>
      <c r="D132" s="27"/>
      <c r="E132" s="27"/>
      <c r="F132" s="27"/>
    </row>
    <row r="133" spans="1:7" ht="12.75" customHeight="1" x14ac:dyDescent="0.2">
      <c r="A133" s="25"/>
      <c r="B133" s="25"/>
      <c r="C133" s="26"/>
      <c r="D133" s="27"/>
      <c r="E133" s="27"/>
      <c r="F133" s="27"/>
    </row>
    <row r="134" spans="1:7" ht="12.75" customHeight="1" x14ac:dyDescent="0.2">
      <c r="A134" s="25"/>
      <c r="B134" s="25"/>
      <c r="C134" s="26"/>
      <c r="D134" s="27"/>
      <c r="E134" s="27"/>
      <c r="F134" s="27"/>
    </row>
    <row r="135" spans="1:7" ht="18" x14ac:dyDescent="0.2">
      <c r="A135" s="155"/>
      <c r="B135" s="39"/>
      <c r="C135" s="40" t="str">
        <f>IF(ISBLANK(Schedule1!C135),"",Schedule1!C135)</f>
        <v xml:space="preserve">Total Quantity of Work x FUF (see 109.06, Table 1)   = </v>
      </c>
      <c r="D135" s="111">
        <f>SUM(E61:E132)</f>
        <v>0</v>
      </c>
      <c r="E135" s="7"/>
      <c r="F135" s="7"/>
      <c r="G135" s="76"/>
    </row>
    <row r="136" spans="1:7" ht="18" x14ac:dyDescent="0.2">
      <c r="A136" s="7"/>
      <c r="B136" s="112"/>
      <c r="C136" s="113" t="str">
        <f>IF(ISBLANK(Schedule1!C136),"",Schedule1!C136)</f>
        <v>BPI for Low Sulfur, No. 2 Diesel Fuel per Gallon</v>
      </c>
      <c r="D136" s="114"/>
      <c r="E136" s="24"/>
      <c r="F136" s="24"/>
      <c r="G136" s="76"/>
    </row>
    <row r="137" spans="1:7" ht="18" x14ac:dyDescent="0.2">
      <c r="A137" s="7"/>
      <c r="B137" s="115"/>
      <c r="C137" s="113" t="str">
        <f>IF(ISBLANK(Schedule1!C137),"",Schedule1!C137)</f>
        <v>Max MPPI (BPI x 1.6)</v>
      </c>
      <c r="D137" s="116">
        <f>IFERROR(D136*1.6,"-")</f>
        <v>0</v>
      </c>
      <c r="E137" s="24"/>
      <c r="F137" s="24"/>
      <c r="G137" s="76"/>
    </row>
    <row r="138" spans="1:7" ht="18" x14ac:dyDescent="0.2">
      <c r="A138" s="25"/>
      <c r="B138" s="115"/>
      <c r="C138" s="117" t="str">
        <f>IF(ISBLANK(Schedule1!C138),"",Schedule1!C138)</f>
        <v>Maximum Payment to Contractor</v>
      </c>
      <c r="D138" s="148">
        <f>IFERROR((1.6-1.1)*D136*D135,"-")</f>
        <v>0</v>
      </c>
      <c r="E138" s="27"/>
      <c r="F138" s="27"/>
      <c r="G138" s="76"/>
    </row>
    <row r="139" spans="1:7" ht="18" x14ac:dyDescent="0.15">
      <c r="A139" s="25"/>
      <c r="B139" s="115"/>
      <c r="C139" s="117" t="str">
        <f>IF(ISBLANK(Schedule1!C139),"",Schedule1!C139)</f>
        <v>% of Max. Payment to Contractor (15%-30%)</v>
      </c>
      <c r="D139" s="149"/>
      <c r="E139" s="28"/>
      <c r="F139" s="29"/>
      <c r="G139" s="76"/>
    </row>
    <row r="140" spans="1:7" ht="18" x14ac:dyDescent="0.15">
      <c r="A140" s="25"/>
      <c r="B140" s="118"/>
      <c r="C140" s="119" t="s">
        <v>51</v>
      </c>
      <c r="D140" s="110">
        <f>SUM(D139)*D138</f>
        <v>0</v>
      </c>
      <c r="E140" s="28"/>
      <c r="F140" s="29"/>
      <c r="G140" s="76"/>
    </row>
    <row r="141" spans="1:7" x14ac:dyDescent="0.2">
      <c r="A141" s="25"/>
      <c r="B141" s="25"/>
      <c r="C141" s="37"/>
      <c r="D141" s="38"/>
      <c r="E141" s="28"/>
      <c r="F141" s="29"/>
    </row>
    <row r="142" spans="1:7" x14ac:dyDescent="0.2">
      <c r="A142" s="30"/>
      <c r="B142" s="31"/>
      <c r="C142" s="26"/>
      <c r="D142" s="27"/>
      <c r="E142" s="27"/>
      <c r="F142" s="27"/>
    </row>
    <row r="143" spans="1:7" ht="13.5" thickBot="1" x14ac:dyDescent="0.2">
      <c r="A143" s="25"/>
      <c r="B143" s="25"/>
      <c r="C143" s="26"/>
      <c r="D143" s="27"/>
      <c r="E143" s="28"/>
      <c r="F143" s="29"/>
    </row>
    <row r="144" spans="1:7" ht="19.5" customHeight="1" thickBot="1" x14ac:dyDescent="0.25">
      <c r="A144" s="150" t="s">
        <v>52</v>
      </c>
      <c r="B144" s="44"/>
      <c r="C144" s="44"/>
      <c r="D144" s="44"/>
      <c r="E144" s="44"/>
      <c r="F144" s="45"/>
    </row>
    <row r="145" spans="1:7" x14ac:dyDescent="0.2">
      <c r="A145" s="30"/>
      <c r="B145" s="31"/>
      <c r="C145" s="26"/>
      <c r="D145" s="27"/>
      <c r="E145" s="27"/>
      <c r="F145" s="27"/>
    </row>
    <row r="146" spans="1:7" x14ac:dyDescent="0.2">
      <c r="A146" s="7"/>
      <c r="B146" s="23"/>
      <c r="C146" s="24"/>
      <c r="D146" s="24"/>
      <c r="E146" s="24"/>
      <c r="F146" s="24"/>
    </row>
    <row r="147" spans="1:7" ht="18.75" thickBot="1" x14ac:dyDescent="0.2">
      <c r="A147" s="25"/>
      <c r="B147" s="39"/>
      <c r="C147" s="40" t="s">
        <v>53</v>
      </c>
      <c r="D147" s="151"/>
      <c r="E147" s="28"/>
      <c r="F147" s="29"/>
      <c r="G147" s="76"/>
    </row>
    <row r="148" spans="1:7" ht="18.75" thickTop="1" x14ac:dyDescent="0.15">
      <c r="A148" s="25"/>
      <c r="B148" s="112"/>
      <c r="C148" s="113" t="s">
        <v>54</v>
      </c>
      <c r="D148" s="152"/>
      <c r="E148" s="28"/>
      <c r="F148" s="29"/>
      <c r="G148" s="76"/>
    </row>
    <row r="149" spans="1:7" ht="18" x14ac:dyDescent="0.15">
      <c r="A149" s="25"/>
      <c r="B149" s="115"/>
      <c r="C149" s="113" t="s">
        <v>48</v>
      </c>
      <c r="D149" s="116">
        <f>IFERROR(D148*1.6,"-")</f>
        <v>0</v>
      </c>
      <c r="E149" s="28"/>
      <c r="F149" s="29"/>
      <c r="G149" s="76"/>
    </row>
    <row r="150" spans="1:7" ht="18" x14ac:dyDescent="0.15">
      <c r="A150" s="25"/>
      <c r="B150" s="115"/>
      <c r="C150" s="117" t="s">
        <v>55</v>
      </c>
      <c r="D150" s="148">
        <f>IFERROR((1.6-1.1)*D148*(D147*0.06),"-")</f>
        <v>0</v>
      </c>
      <c r="E150" s="28"/>
      <c r="F150" s="29"/>
      <c r="G150" s="76"/>
    </row>
    <row r="151" spans="1:7" ht="18" x14ac:dyDescent="0.15">
      <c r="A151" s="25"/>
      <c r="B151" s="115"/>
      <c r="C151" s="117" t="s">
        <v>50</v>
      </c>
      <c r="D151" s="149"/>
      <c r="E151" s="28"/>
      <c r="F151" s="29"/>
      <c r="G151" s="76"/>
    </row>
    <row r="152" spans="1:7" ht="18" x14ac:dyDescent="0.2">
      <c r="A152" s="25"/>
      <c r="B152" s="118"/>
      <c r="C152" s="119" t="s">
        <v>56</v>
      </c>
      <c r="D152" s="110">
        <f>SUM(D151)*D150</f>
        <v>0</v>
      </c>
      <c r="E152" s="27"/>
      <c r="F152" s="27"/>
      <c r="G152" s="76"/>
    </row>
    <row r="153" spans="1:7" x14ac:dyDescent="0.2">
      <c r="A153" s="25"/>
      <c r="B153" s="25"/>
      <c r="C153" s="26"/>
      <c r="D153" s="27"/>
      <c r="E153" s="27"/>
      <c r="F153" s="27"/>
    </row>
    <row r="154" spans="1:7" x14ac:dyDescent="0.2">
      <c r="A154" s="30"/>
      <c r="B154" s="31"/>
      <c r="C154" s="26"/>
      <c r="D154" s="27"/>
      <c r="E154" s="27"/>
      <c r="F154" s="27"/>
    </row>
    <row r="155" spans="1:7" x14ac:dyDescent="0.2">
      <c r="A155" s="31"/>
      <c r="B155" s="31"/>
      <c r="C155" s="26"/>
      <c r="D155" s="27"/>
      <c r="E155" s="27"/>
      <c r="F155" s="27"/>
    </row>
  </sheetData>
  <dataConsolidate/>
  <mergeCells count="26">
    <mergeCell ref="A32:E32"/>
    <mergeCell ref="A1:F1"/>
    <mergeCell ref="B5:D5"/>
    <mergeCell ref="A8:F8"/>
    <mergeCell ref="A18:F18"/>
    <mergeCell ref="A25:F25"/>
    <mergeCell ref="C96:C100"/>
    <mergeCell ref="A34:F34"/>
    <mergeCell ref="A41:E41"/>
    <mergeCell ref="A52:F52"/>
    <mergeCell ref="B56:D56"/>
    <mergeCell ref="C62:C66"/>
    <mergeCell ref="C68:C71"/>
    <mergeCell ref="C73:C80"/>
    <mergeCell ref="C82:C83"/>
    <mergeCell ref="C85:C87"/>
    <mergeCell ref="C89:C91"/>
    <mergeCell ref="C93:C94"/>
    <mergeCell ref="C127:C128"/>
    <mergeCell ref="C130:C131"/>
    <mergeCell ref="C102:C103"/>
    <mergeCell ref="C105:C106"/>
    <mergeCell ref="C108:C110"/>
    <mergeCell ref="A112:F112"/>
    <mergeCell ref="B116:D116"/>
    <mergeCell ref="C122:C123"/>
  </mergeCells>
  <conditionalFormatting sqref="A61:E131">
    <cfRule type="expression" dxfId="3" priority="1">
      <formula>$C61="FUF"</formula>
    </cfRule>
  </conditionalFormatting>
  <dataValidations count="8">
    <dataValidation type="list" showInputMessage="1" showErrorMessage="1" error="Please use drop-down menu to select a schedule letter" promptTitle="Choose Letter" prompt="If you need more than six schedules, then copy addtional sheet tabs and calculate incentives separately for each schedule._x000a__x000a_Sheets tabs can be copied by left clicking the active tab, choosing 'Move or Copy', then clicking the 'Create Copy' checkbox.  " sqref="F5" xr:uid="{078704A7-9A1D-4470-993C-3F8986CD5851}">
      <formula1>"  , A, B, C, D, E, F, G, W, X, Y, Z"</formula1>
    </dataValidation>
    <dataValidation type="whole" operator="greaterThanOrEqual" allowBlank="1" showInputMessage="1" showErrorMessage="1" error="Bid decimals set to zero._x000a__x000a_Contact Steve Chapman (X7801)_x000a_                   or_x000a_    Greg Kwock (X7987)_x000a__x000a_to modify Incentive Spreadsheet." sqref="C24 C30 C111" xr:uid="{AC2DB128-12C6-478B-868C-96486FC53BF2}">
      <formula1>0</formula1>
    </dataValidation>
    <dataValidation type="whole" operator="greaterThanOrEqual" allowBlank="1" showInputMessage="1" showErrorMessage="1" error="Bid decimals set to zero._x000a__x000a_Contact Heidi Hirsbrunner (X3622)_x000a_                _x000a_to modify Incentive Spreadsheet." sqref="C36:C38 C10:C17 C20:C23 C27:C29" xr:uid="{74886544-BD2F-463F-BECD-9D8E54D39128}">
      <formula1>0</formula1>
    </dataValidation>
    <dataValidation type="whole" operator="greaterThanOrEqual" allowBlank="1" showInputMessage="1" showErrorMessage="1" error="Bid decimals set to zero._x000a__x000a_Contact Heidi Hirsbrunner (X3622)_x000a_                   _x000a_to modify Incentive Spreadsheet." sqref="D68:D71 D62:D66" xr:uid="{2CBBD220-E05D-4EDC-A8B7-267883328C48}">
      <formula1>0</formula1>
    </dataValidation>
    <dataValidation type="whole" operator="greaterThanOrEqual" allowBlank="1" showInputMessage="1" showErrorMessage="1" error="Bid decimals set to zero._x000a__x000a_Contact Heidi Hirsbrunner (X3622) _x000a__x000a_to modify Incentive Spreadsheet." sqref="D73:D80 D82:D83" xr:uid="{C5D8E369-A95A-49FA-A48E-906B07EAB9A3}">
      <formula1>0</formula1>
    </dataValidation>
    <dataValidation type="whole" operator="greaterThanOrEqual" allowBlank="1" showInputMessage="1" showErrorMessage="1" error="Bid decimals set to zero._x000a__x000a_Contact Heidi Hirsbrunner (X3622)_x000a__x000a_to modify Incentive Spreadsheet." sqref="D108:D110 D93:D94 D130:D131 D102:D103 D89:D91 D125 D122:D123 D127:D128 D85:D87 D105:D106 D96:D100" xr:uid="{423C1160-93F6-4C9B-8C16-56BDB85DBE47}">
      <formula1>0</formula1>
    </dataValidation>
    <dataValidation type="list" allowBlank="1" showInputMessage="1" showErrorMessage="1" promptTitle="Select Schedule Type" prompt="Select Base, Option, or Alternate" sqref="F4" xr:uid="{A551EEB0-77BB-49FE-9895-68600DA4515B}">
      <formula1>", Base, Option, Alternate"</formula1>
    </dataValidation>
    <dataValidation allowBlank="1" showInputMessage="1" showErrorMessage="1" promptTitle="Enter project name" prompt="Example:  Pinto Basin Road" sqref="B6:D6" xr:uid="{CFACF955-78FE-4250-8515-7150D6062EB3}"/>
  </dataValidations>
  <printOptions horizontalCentered="1"/>
  <pageMargins left="0.45" right="0.45" top="0.6" bottom="0.25" header="0" footer="0.05"/>
  <pageSetup scale="81" fitToHeight="2" orientation="portrait" r:id="rId1"/>
  <headerFooter>
    <oddFooter>&amp;RRev. 04-23-2024</oddFooter>
  </headerFooter>
  <rowBreaks count="2" manualBreakCount="2">
    <brk id="51" max="7" man="1"/>
    <brk id="111" max="6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C746B-6C27-4848-83AB-B803B03B00CA}">
  <dimension ref="A1:G155"/>
  <sheetViews>
    <sheetView showGridLines="0" zoomScaleNormal="100" workbookViewId="0">
      <selection activeCell="F5" sqref="F5"/>
    </sheetView>
  </sheetViews>
  <sheetFormatPr defaultColWidth="9.140625" defaultRowHeight="12.75" x14ac:dyDescent="0.2"/>
  <cols>
    <col min="1" max="1" width="14.7109375" style="1" customWidth="1"/>
    <col min="2" max="2" width="36.7109375" style="1" customWidth="1"/>
    <col min="3" max="3" width="14.7109375" style="20" customWidth="1"/>
    <col min="4" max="5" width="14.7109375" style="21" customWidth="1"/>
    <col min="6" max="6" width="16.7109375" style="21" customWidth="1"/>
    <col min="7" max="16384" width="9.140625" style="1"/>
  </cols>
  <sheetData>
    <row r="1" spans="1:7" ht="24" thickBot="1" x14ac:dyDescent="0.25">
      <c r="A1" s="206" t="s">
        <v>77</v>
      </c>
      <c r="B1" s="206"/>
      <c r="C1" s="206"/>
      <c r="D1" s="206"/>
      <c r="E1" s="206"/>
      <c r="F1" s="206"/>
      <c r="G1" s="77" t="s">
        <v>91</v>
      </c>
    </row>
    <row r="2" spans="1:7" ht="14.25" thickTop="1" thickBot="1" x14ac:dyDescent="0.25">
      <c r="A2" s="70"/>
      <c r="B2" s="96" t="s">
        <v>94</v>
      </c>
      <c r="C2" s="98" t="str">
        <f>FP</f>
        <v>FP-14</v>
      </c>
      <c r="D2" s="73"/>
      <c r="E2" s="73"/>
      <c r="F2" s="73"/>
    </row>
    <row r="3" spans="1:7" ht="19.5" thickTop="1" thickBot="1" x14ac:dyDescent="0.25">
      <c r="A3" s="70"/>
      <c r="B3" s="70"/>
      <c r="C3" s="74"/>
      <c r="D3" s="73"/>
      <c r="E3" s="64" t="s">
        <v>1</v>
      </c>
      <c r="F3" s="65">
        <f ca="1" xml:space="preserve"> TODAY()</f>
        <v>45469</v>
      </c>
      <c r="G3" s="76"/>
    </row>
    <row r="4" spans="1:7" ht="19.5" thickTop="1" thickBot="1" x14ac:dyDescent="0.25">
      <c r="A4" s="96" t="s">
        <v>107</v>
      </c>
      <c r="B4" s="120" t="str">
        <f>ProjNum</f>
        <v>WA WFL Test(1)</v>
      </c>
      <c r="C4" s="99"/>
      <c r="D4" s="100"/>
      <c r="E4" s="66" t="s">
        <v>3</v>
      </c>
      <c r="F4" s="67" t="s">
        <v>59</v>
      </c>
      <c r="G4" s="76"/>
    </row>
    <row r="5" spans="1:7" ht="19.5" thickTop="1" thickBot="1" x14ac:dyDescent="0.25">
      <c r="A5" s="96" t="s">
        <v>108</v>
      </c>
      <c r="B5" s="201" t="str">
        <f>ProjName</f>
        <v>Wafflehead Park Road</v>
      </c>
      <c r="C5" s="201"/>
      <c r="D5" s="201"/>
      <c r="E5" s="66" t="s">
        <v>5</v>
      </c>
      <c r="F5" s="68" t="s">
        <v>60</v>
      </c>
      <c r="G5" s="76"/>
    </row>
    <row r="6" spans="1:7" ht="19.5" thickTop="1" thickBot="1" x14ac:dyDescent="0.25">
      <c r="A6" s="61"/>
      <c r="B6" s="75"/>
      <c r="C6" s="75"/>
      <c r="D6" s="75"/>
      <c r="E6" s="64" t="s">
        <v>7</v>
      </c>
      <c r="F6" s="98" t="str">
        <f>Units</f>
        <v>US CUSTOMARY</v>
      </c>
      <c r="G6" s="76"/>
    </row>
    <row r="7" spans="1:7" ht="14.25" thickTop="1" thickBot="1" x14ac:dyDescent="0.25">
      <c r="A7" s="70"/>
      <c r="B7" s="70"/>
      <c r="C7" s="72"/>
      <c r="D7" s="73"/>
      <c r="E7" s="64"/>
      <c r="F7" s="63"/>
    </row>
    <row r="8" spans="1:7" ht="18.75" thickBot="1" x14ac:dyDescent="0.25">
      <c r="A8" s="208" t="s">
        <v>9</v>
      </c>
      <c r="B8" s="208"/>
      <c r="C8" s="208"/>
      <c r="D8" s="208"/>
      <c r="E8" s="208"/>
      <c r="F8" s="208"/>
      <c r="G8" s="84"/>
    </row>
    <row r="9" spans="1:7" ht="26.25" thickBot="1" x14ac:dyDescent="0.25">
      <c r="A9" s="94" t="s">
        <v>93</v>
      </c>
      <c r="B9" s="8" t="s">
        <v>10</v>
      </c>
      <c r="C9" s="95" t="str">
        <f>"Quantity"&amp;CHAR(10)&amp;IF(Units="US CUSTOMARY"," (Ton or SY)"," (tonnes or m2)")</f>
        <v>Quantity
 (Ton or SY)</v>
      </c>
      <c r="D9" s="9" t="s">
        <v>11</v>
      </c>
      <c r="E9" s="95" t="str">
        <f>"Q_"&amp;IF(Units="US CUSTOMARY","Ton","t")&amp;CHAR(10)&amp;"Unit Price"</f>
        <v>Q_Ton
Unit Price</v>
      </c>
      <c r="F9" s="9" t="s">
        <v>12</v>
      </c>
    </row>
    <row r="10" spans="1:7" ht="19.5" thickTop="1" thickBot="1" x14ac:dyDescent="0.25">
      <c r="A10" s="122">
        <f>IF(ISBLANK(Schedule1!A10),"",Schedule1!A10)</f>
        <v>301</v>
      </c>
      <c r="B10" s="56" t="str">
        <f>IF(ISBLANK(Schedule1!B10),"",Schedule1!B10)</f>
        <v>Untreated Aggregate Courses</v>
      </c>
      <c r="C10" s="78"/>
      <c r="D10" s="85"/>
      <c r="E10" s="87">
        <f t="shared" ref="E10:E16" si="0">ROUND(D10*Materials1,2)</f>
        <v>0</v>
      </c>
      <c r="F10" s="87">
        <f>C10*E10</f>
        <v>0</v>
      </c>
      <c r="G10" s="76"/>
    </row>
    <row r="11" spans="1:7" ht="19.5" thickTop="1" thickBot="1" x14ac:dyDescent="0.25">
      <c r="A11" s="122" t="str">
        <f>IF(ISBLANK(Schedule1!A11),"",Schedule1!A11)</f>
        <v>309</v>
      </c>
      <c r="B11" s="56" t="str">
        <f>IF(ISBLANK(Schedule1!B11),"",Schedule1!B11)</f>
        <v>Emulsified Asphalt-Treated Base Course</v>
      </c>
      <c r="C11" s="80"/>
      <c r="D11" s="88"/>
      <c r="E11" s="87">
        <f t="shared" si="0"/>
        <v>0</v>
      </c>
      <c r="F11" s="87">
        <f t="shared" ref="F11:F16" si="1">C11*E11</f>
        <v>0</v>
      </c>
      <c r="G11" s="76"/>
    </row>
    <row r="12" spans="1:7" ht="19.5" thickTop="1" thickBot="1" x14ac:dyDescent="0.25">
      <c r="A12" s="81">
        <f>IF(ISBLANK(Schedule1!A12),"",Schedule1!A12)</f>
        <v>311</v>
      </c>
      <c r="B12" s="56" t="str">
        <f>IF(ISBLANK(Schedule1!B12),"",Schedule1!B12)</f>
        <v>Stabilized Aggregate Surface Course</v>
      </c>
      <c r="C12" s="80"/>
      <c r="D12" s="88"/>
      <c r="E12" s="87">
        <f t="shared" si="0"/>
        <v>0</v>
      </c>
      <c r="F12" s="87">
        <f t="shared" si="1"/>
        <v>0</v>
      </c>
      <c r="G12" s="76"/>
    </row>
    <row r="13" spans="1:7" ht="19.5" thickTop="1" thickBot="1" x14ac:dyDescent="0.25">
      <c r="A13" s="122">
        <f>IF(ISBLANK(Schedule1!A13),"",Schedule1!A13)</f>
        <v>405</v>
      </c>
      <c r="B13" s="56" t="str">
        <f>IF(ISBLANK(Schedule1!B13),"",Schedule1!B13)</f>
        <v>Open-Graded Asphalt Friction Course</v>
      </c>
      <c r="C13" s="80"/>
      <c r="D13" s="88"/>
      <c r="E13" s="87">
        <f t="shared" si="0"/>
        <v>0</v>
      </c>
      <c r="F13" s="87">
        <f t="shared" si="1"/>
        <v>0</v>
      </c>
      <c r="G13" s="76"/>
    </row>
    <row r="14" spans="1:7" ht="19.5" thickTop="1" thickBot="1" x14ac:dyDescent="0.25">
      <c r="A14" s="122">
        <f>IF(ISBLANK(Schedule1!A14),"",Schedule1!A14)</f>
        <v>407</v>
      </c>
      <c r="B14" s="56" t="str">
        <f>IF(ISBLANK(Schedule1!B14),"",Schedule1!B14)</f>
        <v>Chip Seal</v>
      </c>
      <c r="C14" s="80"/>
      <c r="D14" s="88"/>
      <c r="E14" s="87">
        <f t="shared" si="0"/>
        <v>0</v>
      </c>
      <c r="F14" s="87">
        <f t="shared" si="1"/>
        <v>0</v>
      </c>
      <c r="G14" s="76"/>
    </row>
    <row r="15" spans="1:7" ht="19.5" thickTop="1" thickBot="1" x14ac:dyDescent="0.25">
      <c r="A15" s="123" t="str">
        <f>IF(ISBLANK(Schedule1!A15),"",Schedule1!A15)</f>
        <v>-</v>
      </c>
      <c r="B15" s="56" t="str">
        <f>IF(ISBLANK(Schedule1!B15),"",Schedule1!B15)</f>
        <v/>
      </c>
      <c r="C15" s="82"/>
      <c r="D15" s="89"/>
      <c r="E15" s="87">
        <f t="shared" si="0"/>
        <v>0</v>
      </c>
      <c r="F15" s="87">
        <f t="shared" si="1"/>
        <v>0</v>
      </c>
      <c r="G15" s="76"/>
    </row>
    <row r="16" spans="1:7" ht="18.75" thickTop="1" x14ac:dyDescent="0.2">
      <c r="A16" s="123" t="str">
        <f>IF(ISBLANK(Schedule1!A16),"",Schedule1!A16)</f>
        <v>-</v>
      </c>
      <c r="B16" s="56" t="str">
        <f>IF(ISBLANK(Schedule1!B16),"",Schedule1!B16)</f>
        <v/>
      </c>
      <c r="C16" s="82"/>
      <c r="D16" s="89"/>
      <c r="E16" s="87">
        <f t="shared" si="0"/>
        <v>0</v>
      </c>
      <c r="F16" s="87">
        <f t="shared" si="1"/>
        <v>0</v>
      </c>
      <c r="G16" s="76"/>
    </row>
    <row r="17" spans="1:7" ht="13.5" thickBot="1" x14ac:dyDescent="0.25">
      <c r="A17" s="122"/>
      <c r="B17" s="56"/>
      <c r="C17" s="83"/>
      <c r="D17" s="90"/>
      <c r="E17" s="87"/>
      <c r="F17" s="87"/>
    </row>
    <row r="18" spans="1:7" ht="18.75" thickBot="1" x14ac:dyDescent="0.25">
      <c r="A18" s="205" t="s">
        <v>13</v>
      </c>
      <c r="B18" s="205"/>
      <c r="C18" s="205"/>
      <c r="D18" s="205"/>
      <c r="E18" s="205"/>
      <c r="F18" s="205"/>
      <c r="G18" s="84"/>
    </row>
    <row r="19" spans="1:7" ht="26.25" thickBot="1" x14ac:dyDescent="0.25">
      <c r="A19" s="94" t="s">
        <v>93</v>
      </c>
      <c r="B19" s="8" t="s">
        <v>10</v>
      </c>
      <c r="C19" s="95" t="str">
        <f>"Quantity"&amp;CHAR(10)&amp;IF(Units="US CUSTOMARY"," (Ton or SY)"," (tonnes or m2)")</f>
        <v>Quantity
 (Ton or SY)</v>
      </c>
      <c r="D19" s="9" t="s">
        <v>11</v>
      </c>
      <c r="E19" s="95" t="str">
        <f>"Q_"&amp;IF(Units="US CUSTOMARY","Ton","t")&amp;CHAR(10)&amp;"Unit Price"</f>
        <v>Q_Ton
Unit Price</v>
      </c>
      <c r="F19" s="9" t="s">
        <v>12</v>
      </c>
    </row>
    <row r="20" spans="1:7" ht="19.5" thickTop="1" thickBot="1" x14ac:dyDescent="0.25">
      <c r="A20" s="122" t="str">
        <f>IF(ISBLANK(Schedule1!A20),"",Schedule1!A20)</f>
        <v>401</v>
      </c>
      <c r="B20" s="56" t="str">
        <f>IF(ISBLANK(Schedule1!B20),"",Schedule1!B20)</f>
        <v>ACP by Gyratory Mix Design</v>
      </c>
      <c r="C20" s="78"/>
      <c r="D20" s="85"/>
      <c r="E20" s="87">
        <f>ROUND(D20*Materials2,2)</f>
        <v>0</v>
      </c>
      <c r="F20" s="87">
        <f>C20*E20</f>
        <v>0</v>
      </c>
      <c r="G20" s="76"/>
    </row>
    <row r="21" spans="1:7" ht="19.5" thickTop="1" thickBot="1" x14ac:dyDescent="0.25">
      <c r="A21" s="122" t="str">
        <f>IF(ISBLANK(Schedule1!A21),"",Schedule1!A21)</f>
        <v>-</v>
      </c>
      <c r="B21" s="122" t="str">
        <f>IF(ISBLANK(Schedule1!B21),"",Schedule1!B21)</f>
        <v/>
      </c>
      <c r="C21" s="80"/>
      <c r="D21" s="88"/>
      <c r="E21" s="87">
        <f>ROUND(D21*Materials2,2)</f>
        <v>0</v>
      </c>
      <c r="F21" s="87">
        <f t="shared" ref="F21:F23" si="2">C21*E21</f>
        <v>0</v>
      </c>
      <c r="G21" s="76"/>
    </row>
    <row r="22" spans="1:7" ht="19.5" thickTop="1" thickBot="1" x14ac:dyDescent="0.25">
      <c r="A22" s="122" t="str">
        <f>IF(ISBLANK(Schedule1!A22),"",Schedule1!A22)</f>
        <v>-</v>
      </c>
      <c r="B22" s="56" t="str">
        <f>IF(ISBLANK(Schedule1!B22),"",Schedule1!B22)</f>
        <v/>
      </c>
      <c r="C22" s="80"/>
      <c r="D22" s="88"/>
      <c r="E22" s="87">
        <f>ROUND(D22*Materials2,2)</f>
        <v>0</v>
      </c>
      <c r="F22" s="87">
        <f t="shared" si="2"/>
        <v>0</v>
      </c>
      <c r="G22" s="76"/>
    </row>
    <row r="23" spans="1:7" ht="19.5" thickTop="1" thickBot="1" x14ac:dyDescent="0.25">
      <c r="A23" s="122" t="str">
        <f>IF(ISBLANK(Schedule1!A23),"",Schedule1!A23)</f>
        <v/>
      </c>
      <c r="B23" s="56" t="str">
        <f>IF(ISBLANK(Schedule1!B23),"",Schedule1!B23)</f>
        <v/>
      </c>
      <c r="C23" s="80"/>
      <c r="D23" s="88"/>
      <c r="E23" s="87">
        <f>ROUND(D23*Materials2,2)</f>
        <v>0</v>
      </c>
      <c r="F23" s="87">
        <f t="shared" si="2"/>
        <v>0</v>
      </c>
      <c r="G23" s="76"/>
    </row>
    <row r="24" spans="1:7" ht="15" customHeight="1" thickTop="1" thickBot="1" x14ac:dyDescent="0.25">
      <c r="A24" s="10"/>
      <c r="B24" s="11"/>
      <c r="C24" s="47"/>
      <c r="D24" s="48"/>
      <c r="E24" s="13"/>
      <c r="F24" s="13"/>
    </row>
    <row r="25" spans="1:7" ht="18.75" thickBot="1" x14ac:dyDescent="0.25">
      <c r="A25" s="205" t="s">
        <v>14</v>
      </c>
      <c r="B25" s="205"/>
      <c r="C25" s="205"/>
      <c r="D25" s="205"/>
      <c r="E25" s="205"/>
      <c r="F25" s="205"/>
      <c r="G25" s="84"/>
    </row>
    <row r="26" spans="1:7" ht="26.25" thickBot="1" x14ac:dyDescent="0.25">
      <c r="A26" s="94" t="s">
        <v>93</v>
      </c>
      <c r="B26" s="8" t="s">
        <v>10</v>
      </c>
      <c r="C26" s="95" t="str">
        <f>"Quantity"&amp;CHAR(10)&amp;IF(Units="US CUSTOMARY"," (Ton or SY)"," (tonnes or m2)")</f>
        <v>Quantity
 (Ton or SY)</v>
      </c>
      <c r="D26" s="9" t="s">
        <v>11</v>
      </c>
      <c r="E26" s="95" t="str">
        <f>"Q_"&amp;IF(Units="US CUSTOMARY","Ton","t")&amp;CHAR(10)&amp;"Unit Price"</f>
        <v>Q_Ton
Unit Price</v>
      </c>
      <c r="F26" s="9" t="s">
        <v>12</v>
      </c>
    </row>
    <row r="27" spans="1:7" ht="19.5" thickTop="1" thickBot="1" x14ac:dyDescent="0.25">
      <c r="A27" s="122" t="str">
        <f>IF(ISBLANK(Schedule1!A27),"",Schedule1!A27)</f>
        <v xml:space="preserve"> -</v>
      </c>
      <c r="B27" s="56" t="str">
        <f>IF(ISBLANK(Schedule1!B27),"",Schedule1!B27)</f>
        <v xml:space="preserve">                      -</v>
      </c>
      <c r="C27" s="78"/>
      <c r="D27" s="85"/>
      <c r="E27" s="87">
        <f>ROUND(D27*Materials3,2)</f>
        <v>0</v>
      </c>
      <c r="F27" s="87">
        <f>C27*E27</f>
        <v>0</v>
      </c>
      <c r="G27" s="76"/>
    </row>
    <row r="28" spans="1:7" ht="19.5" thickTop="1" thickBot="1" x14ac:dyDescent="0.25">
      <c r="A28" s="122" t="str">
        <f>IF(ISBLANK(Schedule1!A28),"",Schedule1!A28)</f>
        <v>-</v>
      </c>
      <c r="B28" s="56" t="str">
        <f>IF(ISBLANK(Schedule1!B28),"",Schedule1!B28)</f>
        <v/>
      </c>
      <c r="C28" s="80"/>
      <c r="D28" s="88"/>
      <c r="E28" s="87">
        <f>ROUND(D28*Materials3,2)</f>
        <v>0</v>
      </c>
      <c r="F28" s="87">
        <f>C28*E28</f>
        <v>0</v>
      </c>
      <c r="G28" s="76"/>
    </row>
    <row r="29" spans="1:7" ht="19.5" thickTop="1" thickBot="1" x14ac:dyDescent="0.25">
      <c r="A29" s="122" t="str">
        <f>IF(ISBLANK(Schedule1!A29),"",Schedule1!A29)</f>
        <v>-</v>
      </c>
      <c r="B29" s="56" t="str">
        <f>IF(ISBLANK(Schedule1!B29),"",Schedule1!B29)</f>
        <v/>
      </c>
      <c r="C29" s="80"/>
      <c r="D29" s="88"/>
      <c r="E29" s="87">
        <f>ROUND(D29*Materials3,2)</f>
        <v>0</v>
      </c>
      <c r="F29" s="87">
        <f>C29*E29</f>
        <v>0</v>
      </c>
      <c r="G29" s="76"/>
    </row>
    <row r="30" spans="1:7" ht="13.5" thickTop="1" x14ac:dyDescent="0.2">
      <c r="A30" s="10"/>
      <c r="B30" s="11"/>
      <c r="C30" s="12"/>
      <c r="D30" s="14"/>
      <c r="E30" s="13"/>
      <c r="F30" s="13"/>
    </row>
    <row r="31" spans="1:7" x14ac:dyDescent="0.2">
      <c r="A31" s="2"/>
      <c r="B31" s="2"/>
      <c r="C31" s="3"/>
      <c r="D31" s="4"/>
      <c r="E31" s="4"/>
      <c r="F31" s="4"/>
    </row>
    <row r="32" spans="1:7" x14ac:dyDescent="0.2">
      <c r="A32" s="211" t="s">
        <v>95</v>
      </c>
      <c r="B32" s="211"/>
      <c r="C32" s="211"/>
      <c r="D32" s="211"/>
      <c r="E32" s="211"/>
      <c r="F32" s="109">
        <f>SUM(F10:F16,F20:F23,F27:F29)</f>
        <v>0</v>
      </c>
    </row>
    <row r="33" spans="1:7" ht="13.5" thickBot="1" x14ac:dyDescent="0.25">
      <c r="A33" s="15"/>
      <c r="B33" s="15"/>
      <c r="C33" s="15"/>
      <c r="D33" s="15"/>
      <c r="E33" s="15"/>
      <c r="F33" s="16"/>
    </row>
    <row r="34" spans="1:7" ht="18.75" thickBot="1" x14ac:dyDescent="0.25">
      <c r="A34" s="210" t="s">
        <v>15</v>
      </c>
      <c r="B34" s="210"/>
      <c r="C34" s="210"/>
      <c r="D34" s="210"/>
      <c r="E34" s="210"/>
      <c r="F34" s="210"/>
    </row>
    <row r="35" spans="1:7" ht="26.25" thickBot="1" x14ac:dyDescent="0.25">
      <c r="A35" s="94" t="s">
        <v>93</v>
      </c>
      <c r="B35" s="8" t="s">
        <v>10</v>
      </c>
      <c r="C35" s="97" t="str">
        <f>"Project"&amp;CHAR(10)&amp;"Lane-"&amp;IF(Units="US CUSTOMARY","miles","kilometers")</f>
        <v>Project
Lane-miles</v>
      </c>
      <c r="D35" s="9"/>
      <c r="E35" s="9"/>
      <c r="F35" s="9" t="s">
        <v>12</v>
      </c>
    </row>
    <row r="36" spans="1:7" ht="19.5" thickTop="1" thickBot="1" x14ac:dyDescent="0.25">
      <c r="A36" s="122">
        <f>IF(ISBLANK(Schedule1!A36),"",Schedule1!A36)</f>
        <v>401</v>
      </c>
      <c r="B36" s="70" t="str">
        <f>IF(ISBLANK(Schedule1!B36),"",Schedule1!B36)</f>
        <v>ACP by Gyratory Mix Design</v>
      </c>
      <c r="C36" s="78"/>
      <c r="D36" s="79"/>
      <c r="E36" s="79"/>
      <c r="F36" s="87">
        <f>C36*IF(Units="US CUSTOMARY",100000,62200)*Rough</f>
        <v>0</v>
      </c>
      <c r="G36" s="76"/>
    </row>
    <row r="37" spans="1:7" ht="19.5" thickTop="1" thickBot="1" x14ac:dyDescent="0.25">
      <c r="A37" s="122" t="str">
        <f>IF(ISBLANK(Schedule1!A37),"",Schedule1!A37)</f>
        <v>-</v>
      </c>
      <c r="B37" s="70" t="str">
        <f>IF(ISBLANK(Schedule1!B37),"",Schedule1!B37)</f>
        <v/>
      </c>
      <c r="C37" s="80"/>
      <c r="D37" s="79"/>
      <c r="E37" s="79"/>
      <c r="F37" s="87">
        <f>C37*IF(Units="US CUSTOMARY",100000,62200)*Rough</f>
        <v>0</v>
      </c>
      <c r="G37" s="76"/>
    </row>
    <row r="38" spans="1:7" ht="19.5" thickTop="1" thickBot="1" x14ac:dyDescent="0.25">
      <c r="A38" s="122" t="str">
        <f>IF(ISBLANK(Schedule1!A38),"",Schedule1!A38)</f>
        <v>-</v>
      </c>
      <c r="B38" s="122" t="str">
        <f>IF(ISBLANK(Schedule1!B38),"",Schedule1!B38)</f>
        <v/>
      </c>
      <c r="C38" s="80"/>
      <c r="D38" s="79"/>
      <c r="E38" s="79"/>
      <c r="F38" s="87">
        <f>C38*IF(Units="US CUSTOMARY",100000,62200)*Rough</f>
        <v>0</v>
      </c>
      <c r="G38" s="76"/>
    </row>
    <row r="39" spans="1:7" ht="13.5" thickTop="1" x14ac:dyDescent="0.2">
      <c r="A39" s="10"/>
      <c r="B39" s="2"/>
      <c r="C39" s="17"/>
      <c r="D39" s="13"/>
      <c r="E39" s="13"/>
      <c r="F39" s="13"/>
    </row>
    <row r="40" spans="1:7" x14ac:dyDescent="0.2">
      <c r="A40" s="2"/>
      <c r="B40" s="2"/>
      <c r="C40" s="3"/>
      <c r="D40" s="4"/>
      <c r="E40" s="4"/>
      <c r="F40" s="4"/>
    </row>
    <row r="41" spans="1:7" x14ac:dyDescent="0.2">
      <c r="A41" s="211" t="s">
        <v>96</v>
      </c>
      <c r="B41" s="211"/>
      <c r="C41" s="211"/>
      <c r="D41" s="211"/>
      <c r="E41" s="211"/>
      <c r="F41" s="109">
        <f>SUM(F36:F38)</f>
        <v>0</v>
      </c>
    </row>
    <row r="42" spans="1:7" x14ac:dyDescent="0.15">
      <c r="A42" s="2"/>
      <c r="B42" s="2"/>
      <c r="C42" s="3"/>
      <c r="D42" s="4"/>
      <c r="E42" s="18"/>
      <c r="F42" s="19"/>
    </row>
    <row r="43" spans="1:7" ht="22.5" x14ac:dyDescent="0.15">
      <c r="A43" s="91" t="str">
        <f>IF(ISBLANK(Schedule1!A43),"",Schedule1!A43)</f>
        <v xml:space="preserve">Note 1: </v>
      </c>
      <c r="B43" s="92" t="str">
        <f>IF(ISBLANK(Schedule1!B43),"",Schedule1!B43)</f>
        <v>Q_t Unit Price = (Unit Price x 0.05)
Incentive Amt = (Quantity x Q_t Unit Price)</v>
      </c>
      <c r="C43" s="3"/>
      <c r="D43" s="4"/>
      <c r="E43" s="18"/>
      <c r="F43" s="19"/>
    </row>
    <row r="44" spans="1:7" x14ac:dyDescent="0.15">
      <c r="A44" s="22" t="str">
        <f>IF(ISBLANK(Schedule1!A44),"",Schedule1!A44)</f>
        <v/>
      </c>
      <c r="B44" s="22" t="str">
        <f>IF(ISBLANK(Schedule1!B44),"",Schedule1!B44)</f>
        <v/>
      </c>
      <c r="C44" s="3"/>
      <c r="D44" s="4"/>
      <c r="E44" s="18"/>
      <c r="F44" s="19"/>
    </row>
    <row r="45" spans="1:7" ht="22.5" x14ac:dyDescent="0.2">
      <c r="A45" s="91" t="str">
        <f>IF(ISBLANK(Schedule1!A45),"",Schedule1!A45)</f>
        <v xml:space="preserve">Note 2: </v>
      </c>
      <c r="B45" s="92" t="str">
        <f>IF(ISBLANK(Schedule1!B45),"",Schedule1!B45)</f>
        <v>Q_t Unit Price = (Unit Price x 0.06)
Incentive Amt = (Quantity x Q_t Unit Price)</v>
      </c>
      <c r="C45" s="3"/>
      <c r="D45" s="4"/>
      <c r="E45" s="4"/>
      <c r="F45" s="4"/>
    </row>
    <row r="46" spans="1:7" x14ac:dyDescent="0.2">
      <c r="A46" s="2" t="str">
        <f>IF(ISBLANK(Schedule1!A46),"",Schedule1!A46)</f>
        <v/>
      </c>
      <c r="B46" s="2" t="str">
        <f>IF(ISBLANK(Schedule1!B46),"",Schedule1!B46)</f>
        <v/>
      </c>
      <c r="C46" s="3"/>
      <c r="D46" s="4"/>
      <c r="E46" s="4"/>
      <c r="F46" s="4"/>
    </row>
    <row r="47" spans="1:7" ht="22.5" x14ac:dyDescent="0.2">
      <c r="A47" s="91" t="str">
        <f>IF(ISBLANK(Schedule1!A47),"",Schedule1!A47)</f>
        <v xml:space="preserve">Note 3: </v>
      </c>
      <c r="B47" s="92" t="str">
        <f>IF(ISBLANK(Schedule1!B47),"",Schedule1!B47)</f>
        <v>Q_t Unit Price = (Unit Price x 0.01)
Incentive Amt = (Quantity x Q_t Unit Price)</v>
      </c>
      <c r="C47" s="3"/>
      <c r="D47" s="4"/>
      <c r="E47" s="4"/>
      <c r="F47" s="4"/>
    </row>
    <row r="48" spans="1:7" x14ac:dyDescent="0.2">
      <c r="A48" s="22" t="str">
        <f>IF(ISBLANK(Schedule1!A48),"",Schedule1!A48)</f>
        <v/>
      </c>
      <c r="B48" s="22" t="str">
        <f>IF(ISBLANK(Schedule1!B48),"",Schedule1!B48)</f>
        <v/>
      </c>
      <c r="C48" s="3"/>
      <c r="D48" s="4"/>
      <c r="E48" s="4"/>
      <c r="F48" s="4"/>
    </row>
    <row r="49" spans="1:7" x14ac:dyDescent="0.2">
      <c r="A49" s="93" t="str">
        <f>IF(ISBLANK(Schedule1!A49),"",Schedule1!A49)</f>
        <v xml:space="preserve">Note 4: </v>
      </c>
      <c r="B49" s="153" t="str">
        <f>IF(ISBLANK(Schedule1!B49),"",Schedule1!B49)</f>
        <v>Incentive Amt = (Lane-miles x 100,000 x 0.05)</v>
      </c>
      <c r="C49" s="3"/>
      <c r="D49" s="4"/>
      <c r="E49" s="4"/>
      <c r="F49" s="4"/>
      <c r="G49" s="84"/>
    </row>
    <row r="50" spans="1:7" x14ac:dyDescent="0.2">
      <c r="A50" s="2"/>
      <c r="B50" s="2"/>
      <c r="C50" s="3"/>
      <c r="D50" s="4"/>
      <c r="E50" s="4"/>
      <c r="F50" s="4"/>
    </row>
    <row r="51" spans="1:7" x14ac:dyDescent="0.2">
      <c r="A51" s="2"/>
      <c r="B51" s="2"/>
      <c r="C51" s="3"/>
      <c r="D51" s="4"/>
      <c r="E51" s="4"/>
      <c r="F51" s="4"/>
    </row>
    <row r="52" spans="1:7" ht="18" customHeight="1" thickBot="1" x14ac:dyDescent="0.3">
      <c r="A52" s="200" t="s">
        <v>78</v>
      </c>
      <c r="B52" s="200"/>
      <c r="C52" s="200"/>
      <c r="D52" s="200"/>
      <c r="E52" s="200"/>
      <c r="F52" s="200"/>
    </row>
    <row r="53" spans="1:7" ht="14.25" thickTop="1" thickBot="1" x14ac:dyDescent="0.25">
      <c r="A53" s="70"/>
      <c r="B53" s="96" t="s">
        <v>94</v>
      </c>
      <c r="C53" s="98" t="str">
        <f>FP</f>
        <v>FP-14</v>
      </c>
      <c r="D53" s="73"/>
      <c r="E53" s="73"/>
      <c r="F53" s="73"/>
    </row>
    <row r="54" spans="1:7" ht="19.5" thickTop="1" thickBot="1" x14ac:dyDescent="0.25">
      <c r="A54" s="70"/>
      <c r="B54" s="70"/>
      <c r="C54" s="74"/>
      <c r="D54" s="73"/>
      <c r="E54" s="64" t="s">
        <v>1</v>
      </c>
      <c r="F54" s="65">
        <f ca="1">Date</f>
        <v>45469</v>
      </c>
      <c r="G54" s="76"/>
    </row>
    <row r="55" spans="1:7" ht="19.5" thickTop="1" thickBot="1" x14ac:dyDescent="0.25">
      <c r="A55" s="61" t="s">
        <v>0</v>
      </c>
      <c r="B55" s="120" t="str">
        <f>ProjNum</f>
        <v>WA WFL Test(1)</v>
      </c>
      <c r="C55" s="99"/>
      <c r="D55" s="100"/>
      <c r="E55" s="66" t="s">
        <v>3</v>
      </c>
      <c r="F55" s="98" t="str">
        <f>SchedType</f>
        <v>Option</v>
      </c>
      <c r="G55" s="76"/>
    </row>
    <row r="56" spans="1:7" ht="19.5" thickTop="1" thickBot="1" x14ac:dyDescent="0.25">
      <c r="A56" s="61" t="s">
        <v>2</v>
      </c>
      <c r="B56" s="201" t="str">
        <f>ProjName</f>
        <v>Wafflehead Park Road</v>
      </c>
      <c r="C56" s="201"/>
      <c r="D56" s="201"/>
      <c r="E56" s="66" t="s">
        <v>5</v>
      </c>
      <c r="F56" s="98" t="str">
        <f>SchedLet</f>
        <v>X</v>
      </c>
      <c r="G56" s="76"/>
    </row>
    <row r="57" spans="1:7" ht="19.5" thickTop="1" thickBot="1" x14ac:dyDescent="0.25">
      <c r="A57" s="61"/>
      <c r="B57" s="75"/>
      <c r="C57" s="75"/>
      <c r="D57" s="75"/>
      <c r="E57" s="64" t="s">
        <v>7</v>
      </c>
      <c r="F57" s="98" t="str">
        <f>Units</f>
        <v>US CUSTOMARY</v>
      </c>
      <c r="G57" s="76"/>
    </row>
    <row r="58" spans="1:7" ht="14.25" thickTop="1" thickBot="1" x14ac:dyDescent="0.25">
      <c r="A58" s="2"/>
      <c r="B58" s="2"/>
      <c r="C58" s="3"/>
      <c r="D58" s="4"/>
      <c r="E58" s="6"/>
      <c r="F58" s="5"/>
    </row>
    <row r="59" spans="1:7" ht="18.75" thickBot="1" x14ac:dyDescent="0.25">
      <c r="A59" s="41" t="s">
        <v>20</v>
      </c>
      <c r="B59" s="42"/>
      <c r="C59" s="42"/>
      <c r="D59" s="42"/>
      <c r="E59" s="42"/>
      <c r="F59" s="43"/>
      <c r="G59" s="76"/>
    </row>
    <row r="60" spans="1:7" x14ac:dyDescent="0.2">
      <c r="A60" s="7"/>
      <c r="B60" s="23"/>
      <c r="C60" s="24"/>
      <c r="D60" s="24"/>
      <c r="E60" s="24"/>
      <c r="F60" s="24"/>
    </row>
    <row r="61" spans="1:7" x14ac:dyDescent="0.2">
      <c r="A61" s="135" t="str">
        <f>IF(ISBLANK(Schedule1!A61),"",Schedule1!A61)</f>
        <v>Section 204 –</v>
      </c>
      <c r="B61" s="136" t="str">
        <f>IF(ISBLANK(Schedule1!B61),"",Schedule1!B61)</f>
        <v>Excavation and Embankment</v>
      </c>
      <c r="C61" s="137" t="s">
        <v>21</v>
      </c>
      <c r="D61" s="138" t="str">
        <f>IF(Units="US CUSTOMARY"," CUYD"," m3")</f>
        <v xml:space="preserve"> CUYD</v>
      </c>
      <c r="E61" s="139" t="s">
        <v>22</v>
      </c>
      <c r="F61" s="24"/>
    </row>
    <row r="62" spans="1:7" x14ac:dyDescent="0.2">
      <c r="A62" s="130">
        <f>IF(ISBLANK(Schedule1!A62),"",Schedule1!A62)</f>
        <v>20401</v>
      </c>
      <c r="B62" s="131" t="str">
        <f>IF(ISBLANK(Schedule1!B62),"",Schedule1!B62)</f>
        <v>Roadway exacation</v>
      </c>
      <c r="C62" s="209">
        <f>Fuel204a</f>
        <v>0.3</v>
      </c>
      <c r="D62" s="196"/>
      <c r="E62" s="129" t="str">
        <f>IF(ISNUMBER(D62),+C$62*D62, "-")</f>
        <v>-</v>
      </c>
      <c r="F62" s="13"/>
    </row>
    <row r="63" spans="1:7" x14ac:dyDescent="0.2">
      <c r="A63" s="130">
        <f>IF(ISBLANK(Schedule1!A63),"",Schedule1!A63)</f>
        <v>20402</v>
      </c>
      <c r="B63" s="131" t="str">
        <f>IF(ISBLANK(Schedule1!B63),"",Schedule1!B63)</f>
        <v>Subexacation</v>
      </c>
      <c r="C63" s="209"/>
      <c r="D63" s="196"/>
      <c r="E63" s="129" t="str">
        <f>IF(ISNUMBER(D63),+C$62*D63, "-")</f>
        <v>-</v>
      </c>
      <c r="F63" s="13"/>
    </row>
    <row r="64" spans="1:7" x14ac:dyDescent="0.2">
      <c r="A64" s="130">
        <f>IF(ISBLANK(Schedule1!A64),"",Schedule1!A64)</f>
        <v>20403</v>
      </c>
      <c r="B64" s="131" t="str">
        <f>IF(ISBLANK(Schedule1!B64),"",Schedule1!B64)</f>
        <v>Unclassified borrow</v>
      </c>
      <c r="C64" s="209"/>
      <c r="D64" s="196"/>
      <c r="E64" s="129" t="str">
        <f>IF(ISNUMBER(D64),+C$62*D64, "-")</f>
        <v>-</v>
      </c>
      <c r="F64" s="13"/>
    </row>
    <row r="65" spans="1:6" x14ac:dyDescent="0.2">
      <c r="A65" s="130">
        <f>IF(ISBLANK(Schedule1!A65),"",Schedule1!A65)</f>
        <v>20420</v>
      </c>
      <c r="B65" s="131" t="str">
        <f>IF(ISBLANK(Schedule1!B65),"",Schedule1!B65)</f>
        <v>Embankment construction</v>
      </c>
      <c r="C65" s="209"/>
      <c r="D65" s="196"/>
      <c r="E65" s="129" t="str">
        <f>IF(ISNUMBER(D65),+C$62*D65, "-")</f>
        <v>-</v>
      </c>
      <c r="F65" s="13"/>
    </row>
    <row r="66" spans="1:6" x14ac:dyDescent="0.2">
      <c r="A66" s="130">
        <f>IF(ISBLANK(Schedule1!A66),"",Schedule1!A66)</f>
        <v>20421</v>
      </c>
      <c r="B66" s="131" t="str">
        <f>IF(ISBLANK(Schedule1!B66),"",Schedule1!B66)</f>
        <v>Rock excavation</v>
      </c>
      <c r="C66" s="209"/>
      <c r="D66" s="196"/>
      <c r="E66" s="129" t="str">
        <f>IF(ISNUMBER(D66),+C$62*D66, "-")</f>
        <v>-</v>
      </c>
      <c r="F66" s="13"/>
    </row>
    <row r="67" spans="1:6" x14ac:dyDescent="0.2">
      <c r="A67" s="135" t="str">
        <f>IF(ISBLANK(Schedule1!A67),"",Schedule1!A67)</f>
        <v>Section 204 –</v>
      </c>
      <c r="B67" s="136" t="str">
        <f>IF(ISBLANK(Schedule1!B67),"",Schedule1!B67)</f>
        <v>Excavation and Embankment</v>
      </c>
      <c r="C67" s="137" t="s">
        <v>21</v>
      </c>
      <c r="D67" s="138" t="str">
        <f>IF(Units="US CUSTOMARY"," Tons"," tonnes")</f>
        <v xml:space="preserve"> Tons</v>
      </c>
      <c r="E67" s="139" t="s">
        <v>22</v>
      </c>
      <c r="F67" s="24"/>
    </row>
    <row r="68" spans="1:6" x14ac:dyDescent="0.2">
      <c r="A68" s="130">
        <f>IF(ISBLANK(Schedule1!A68),"",Schedule1!A68)</f>
        <v>20410</v>
      </c>
      <c r="B68" s="131" t="str">
        <f>IF(ISBLANK(Schedule1!B68),"",Schedule1!B68)</f>
        <v>Select borrow*</v>
      </c>
      <c r="C68" s="209">
        <f>Fuel204b</f>
        <v>0.7</v>
      </c>
      <c r="D68" s="196"/>
      <c r="E68" s="129" t="str">
        <f>IF(ISNUMBER(D68),+C$68*D68, "-")</f>
        <v>-</v>
      </c>
      <c r="F68" s="13"/>
    </row>
    <row r="69" spans="1:6" x14ac:dyDescent="0.2">
      <c r="A69" s="130">
        <f>IF(ISBLANK(Schedule1!A69),"",Schedule1!A69)</f>
        <v>20411</v>
      </c>
      <c r="B69" s="131" t="str">
        <f>IF(ISBLANK(Schedule1!B69),"",Schedule1!B69)</f>
        <v>Select borrow</v>
      </c>
      <c r="C69" s="209"/>
      <c r="D69" s="196"/>
      <c r="E69" s="129" t="str">
        <f>IF(ISNUMBER(D69),+C$68*D69, "-")</f>
        <v>-</v>
      </c>
      <c r="F69" s="13"/>
    </row>
    <row r="70" spans="1:6" x14ac:dyDescent="0.2">
      <c r="A70" s="130" t="str">
        <f>IF(ISBLANK(Schedule1!A70),"",Schedule1!A70)</f>
        <v xml:space="preserve"> 20415</v>
      </c>
      <c r="B70" s="131" t="str">
        <f>IF(ISBLANK(Schedule1!B70),"",Schedule1!B70)</f>
        <v>Select topping*</v>
      </c>
      <c r="C70" s="209"/>
      <c r="D70" s="196"/>
      <c r="E70" s="129" t="str">
        <f>IF(ISNUMBER(D70),+C$68*D70, "-")</f>
        <v>-</v>
      </c>
      <c r="F70" s="13"/>
    </row>
    <row r="71" spans="1:6" x14ac:dyDescent="0.2">
      <c r="A71" s="130" t="str">
        <f>IF(ISBLANK(Schedule1!A71),"",Schedule1!A71)</f>
        <v xml:space="preserve"> 20416</v>
      </c>
      <c r="B71" s="131" t="str">
        <f>IF(ISBLANK(Schedule1!B71),"",Schedule1!B71)</f>
        <v>Select topping</v>
      </c>
      <c r="C71" s="209"/>
      <c r="D71" s="196"/>
      <c r="E71" s="129" t="str">
        <f>IF(ISNUMBER(D71),+C$68*D71, "-")</f>
        <v>-</v>
      </c>
      <c r="F71" s="13"/>
    </row>
    <row r="72" spans="1:6" x14ac:dyDescent="0.2">
      <c r="A72" s="135" t="str">
        <f>IF(ISBLANK(Schedule1!A72),"",Schedule1!A72)</f>
        <v>Section 301 –</v>
      </c>
      <c r="B72" s="136" t="str">
        <f>IF(ISBLANK(Schedule1!B72),"",Schedule1!B72)</f>
        <v>Untreated Aggregate Courses</v>
      </c>
      <c r="C72" s="137" t="s">
        <v>21</v>
      </c>
      <c r="D72" s="138" t="str">
        <f>IF(Units="US CUSTOMARY"," Tons"," tonnes")</f>
        <v xml:space="preserve"> Tons</v>
      </c>
      <c r="E72" s="139" t="s">
        <v>22</v>
      </c>
      <c r="F72" s="13"/>
    </row>
    <row r="73" spans="1:6" x14ac:dyDescent="0.2">
      <c r="A73" s="130">
        <f>IF(ISBLANK(Schedule1!A73),"",Schedule1!A73)</f>
        <v>30101</v>
      </c>
      <c r="B73" s="131" t="str">
        <f>IF(ISBLANK(Schedule1!B73),"",Schedule1!B73)</f>
        <v>Aggregate base</v>
      </c>
      <c r="C73" s="209">
        <f>Fuel301</f>
        <v>0.7</v>
      </c>
      <c r="D73" s="196"/>
      <c r="E73" s="129" t="str">
        <f t="shared" ref="E73:E80" si="3">IF(ISNUMBER(D73),+C$73*D73, "-")</f>
        <v>-</v>
      </c>
      <c r="F73" s="13"/>
    </row>
    <row r="74" spans="1:6" x14ac:dyDescent="0.2">
      <c r="A74" s="130">
        <f>IF(ISBLANK(Schedule1!A74),"",Schedule1!A74)</f>
        <v>30102</v>
      </c>
      <c r="B74" s="131" t="str">
        <f>IF(ISBLANK(Schedule1!B74),"",Schedule1!B74)</f>
        <v>Aggregate base*</v>
      </c>
      <c r="C74" s="209"/>
      <c r="D74" s="196"/>
      <c r="E74" s="129" t="str">
        <f t="shared" si="3"/>
        <v>-</v>
      </c>
      <c r="F74" s="13"/>
    </row>
    <row r="75" spans="1:6" x14ac:dyDescent="0.2">
      <c r="A75" s="130">
        <f>IF(ISBLANK(Schedule1!A75),"",Schedule1!A75)</f>
        <v>30103</v>
      </c>
      <c r="B75" s="131" t="str">
        <f>IF(ISBLANK(Schedule1!B75),"",Schedule1!B75)</f>
        <v>Aggregate base*</v>
      </c>
      <c r="C75" s="209"/>
      <c r="D75" s="196"/>
      <c r="E75" s="129" t="str">
        <f t="shared" si="3"/>
        <v>-</v>
      </c>
      <c r="F75" s="13"/>
    </row>
    <row r="76" spans="1:6" x14ac:dyDescent="0.2">
      <c r="A76" s="130">
        <f>IF(ISBLANK(Schedule1!A76),"",Schedule1!A76)</f>
        <v>30105</v>
      </c>
      <c r="B76" s="131" t="str">
        <f>IF(ISBLANK(Schedule1!B76),"",Schedule1!B76)</f>
        <v>Subbase</v>
      </c>
      <c r="C76" s="209"/>
      <c r="D76" s="196"/>
      <c r="E76" s="129" t="str">
        <f t="shared" si="3"/>
        <v>-</v>
      </c>
      <c r="F76" s="13"/>
    </row>
    <row r="77" spans="1:6" x14ac:dyDescent="0.2">
      <c r="A77" s="130">
        <f>IF(ISBLANK(Schedule1!A77),"",Schedule1!A77)</f>
        <v>30106</v>
      </c>
      <c r="B77" s="131" t="str">
        <f>IF(ISBLANK(Schedule1!B77),"",Schedule1!B77)</f>
        <v>Subbase*</v>
      </c>
      <c r="C77" s="209"/>
      <c r="D77" s="196"/>
      <c r="E77" s="129" t="str">
        <f t="shared" si="3"/>
        <v>-</v>
      </c>
      <c r="F77" s="13"/>
    </row>
    <row r="78" spans="1:6" x14ac:dyDescent="0.2">
      <c r="A78" s="130">
        <f>IF(ISBLANK(Schedule1!A78),"",Schedule1!A78)</f>
        <v>30107</v>
      </c>
      <c r="B78" s="131" t="str">
        <f>IF(ISBLANK(Schedule1!B78),"",Schedule1!B78)</f>
        <v>Subbase*</v>
      </c>
      <c r="C78" s="209"/>
      <c r="D78" s="196"/>
      <c r="E78" s="129" t="str">
        <f t="shared" si="3"/>
        <v>-</v>
      </c>
      <c r="F78" s="13"/>
    </row>
    <row r="79" spans="1:6" x14ac:dyDescent="0.2">
      <c r="A79" s="130">
        <f>IF(ISBLANK(Schedule1!A79),"",Schedule1!A79)</f>
        <v>30110</v>
      </c>
      <c r="B79" s="131" t="str">
        <f>IF(ISBLANK(Schedule1!B79),"",Schedule1!B79)</f>
        <v>Aggregate surface course</v>
      </c>
      <c r="C79" s="209"/>
      <c r="D79" s="196"/>
      <c r="E79" s="129" t="str">
        <f t="shared" si="3"/>
        <v>-</v>
      </c>
      <c r="F79" s="13"/>
    </row>
    <row r="80" spans="1:6" x14ac:dyDescent="0.2">
      <c r="A80" s="130">
        <f>IF(ISBLANK(Schedule1!A80),"",Schedule1!A80)</f>
        <v>30111</v>
      </c>
      <c r="B80" s="131" t="str">
        <f>IF(ISBLANK(Schedule1!B80),"",Schedule1!B80)</f>
        <v>Aggregate surface course*</v>
      </c>
      <c r="C80" s="209"/>
      <c r="D80" s="196"/>
      <c r="E80" s="129" t="str">
        <f t="shared" si="3"/>
        <v>-</v>
      </c>
      <c r="F80" s="13"/>
    </row>
    <row r="81" spans="1:6" x14ac:dyDescent="0.2">
      <c r="A81" s="125" t="str">
        <f>IF(ISBLANK(Schedule1!A81),"",Schedule1!A81)</f>
        <v>Section 302 –</v>
      </c>
      <c r="B81" s="140" t="str">
        <f>IF(ISBLANK(Schedule1!B81),"",Schedule1!B81)</f>
        <v>Minor Aggregate</v>
      </c>
      <c r="C81" s="107" t="s">
        <v>21</v>
      </c>
      <c r="D81" s="141" t="str">
        <f>IF(Units="US CUSTOMARY"," Tons"," tonnes")</f>
        <v xml:space="preserve"> Tons</v>
      </c>
      <c r="E81" s="142" t="s">
        <v>22</v>
      </c>
      <c r="F81" s="13"/>
    </row>
    <row r="82" spans="1:6" x14ac:dyDescent="0.2">
      <c r="A82" s="132">
        <f>IF(ISBLANK(Schedule1!A82),"",Schedule1!A82)</f>
        <v>30201</v>
      </c>
      <c r="B82" s="104" t="str">
        <f>IF(ISBLANK(Schedule1!B82),"",Schedule1!B82)</f>
        <v>Roadway Aggregate</v>
      </c>
      <c r="C82" s="202">
        <f>Fuel302</f>
        <v>0.7</v>
      </c>
      <c r="D82" s="32"/>
      <c r="E82" s="108" t="str">
        <f>IF(ISNUMBER(D82),+C$82*D82, "-")</f>
        <v>-</v>
      </c>
      <c r="F82" s="13"/>
    </row>
    <row r="83" spans="1:6" x14ac:dyDescent="0.2">
      <c r="A83" s="132">
        <f>IF(ISBLANK(Schedule1!A83),"",Schedule1!A83)</f>
        <v>30202</v>
      </c>
      <c r="B83" s="104" t="str">
        <f>IF(ISBLANK(Schedule1!B83),"",Schedule1!B83)</f>
        <v>Roadway Aggregate*</v>
      </c>
      <c r="C83" s="202"/>
      <c r="D83" s="32"/>
      <c r="E83" s="108" t="str">
        <f>IF(ISNUMBER(D83),+C$82*D83, "-")</f>
        <v>-</v>
      </c>
      <c r="F83" s="13"/>
    </row>
    <row r="84" spans="1:6" x14ac:dyDescent="0.2">
      <c r="A84" s="134" t="str">
        <f>IF(ISBLANK(Schedule1!A84),"",Schedule1!A84)</f>
        <v>Section 308 –</v>
      </c>
      <c r="B84" s="140" t="str">
        <f>IF(ISBLANK(Schedule1!B84),"",Schedule1!B84)</f>
        <v>Recycled Aggregate Base</v>
      </c>
      <c r="C84" s="107" t="s">
        <v>21</v>
      </c>
      <c r="D84" s="143" t="str">
        <f>IF(Units="US CUSTOMARY"," SQYD","m2")</f>
        <v xml:space="preserve"> SQYD</v>
      </c>
      <c r="E84" s="144" t="s">
        <v>22</v>
      </c>
      <c r="F84" s="13"/>
    </row>
    <row r="85" spans="1:6" x14ac:dyDescent="0.2">
      <c r="A85" s="133" t="str">
        <f>IF(ISBLANK(Schedule1!A85),"",Schedule1!A85)</f>
        <v>30801</v>
      </c>
      <c r="B85" s="104" t="str">
        <f>IF(ISBLANK(Schedule1!B85),"",Schedule1!B85)</f>
        <v>Recycled aggregate base</v>
      </c>
      <c r="C85" s="204">
        <f>Fuel308</f>
        <v>0.1</v>
      </c>
      <c r="D85" s="34"/>
      <c r="E85" s="108" t="str">
        <f>IF(ISNUMBER(D85),+C$85*D85, "-")</f>
        <v>-</v>
      </c>
      <c r="F85" s="13"/>
    </row>
    <row r="86" spans="1:6" x14ac:dyDescent="0.2">
      <c r="A86" s="133" t="str">
        <f>IF(ISBLANK(Schedule1!A86),"",Schedule1!A86)</f>
        <v>30802</v>
      </c>
      <c r="B86" s="104" t="str">
        <f>IF(ISBLANK(Schedule1!B86),"",Schedule1!B86)</f>
        <v>Recycled aggregate base*</v>
      </c>
      <c r="C86" s="202"/>
      <c r="D86" s="34"/>
      <c r="E86" s="108" t="str">
        <f>IF(ISNUMBER(D86),+C$85*D86, "-")</f>
        <v>-</v>
      </c>
      <c r="F86" s="13"/>
    </row>
    <row r="87" spans="1:6" x14ac:dyDescent="0.2">
      <c r="A87" s="133" t="str">
        <f>IF(ISBLANK(Schedule1!A87),"",Schedule1!A87)</f>
        <v>30803</v>
      </c>
      <c r="B87" s="104" t="str">
        <f>IF(ISBLANK(Schedule1!B87),"",Schedule1!B87)</f>
        <v>Recycled aggregate base*</v>
      </c>
      <c r="C87" s="202"/>
      <c r="D87" s="34"/>
      <c r="E87" s="108" t="str">
        <f>IF(ISNUMBER(D87),+C$85*D87, "-")</f>
        <v>-</v>
      </c>
      <c r="F87" s="13"/>
    </row>
    <row r="88" spans="1:6" x14ac:dyDescent="0.2">
      <c r="A88" s="134" t="str">
        <f>IF(ISBLANK(Schedule1!A88),"",Schedule1!A88)</f>
        <v>Section 309 –</v>
      </c>
      <c r="B88" s="140" t="str">
        <f>IF(ISBLANK(Schedule1!B88),"",Schedule1!B88)</f>
        <v>Emulsified Asphalt Treated Base Course</v>
      </c>
      <c r="C88" s="107" t="s">
        <v>21</v>
      </c>
      <c r="D88" s="143" t="str">
        <f>IF(Units="US CUSTOMARY"," Tons","tonnes")</f>
        <v xml:space="preserve"> Tons</v>
      </c>
      <c r="E88" s="144" t="s">
        <v>22</v>
      </c>
      <c r="F88" s="13"/>
    </row>
    <row r="89" spans="1:6" x14ac:dyDescent="0.2">
      <c r="A89" s="133">
        <f>IF(ISBLANK(Schedule1!A89),"",Schedule1!A89)</f>
        <v>30901</v>
      </c>
      <c r="B89" s="104" t="str">
        <f>IF(ISBLANK(Schedule1!B89),"",Schedule1!B89)</f>
        <v>Emulsified asphalt treated aggregate base</v>
      </c>
      <c r="C89" s="204">
        <f>Fuel309</f>
        <v>0.7</v>
      </c>
      <c r="D89" s="34"/>
      <c r="E89" s="108" t="str">
        <f>IF(ISNUMBER(D89),+C$89*D89, "-")</f>
        <v>-</v>
      </c>
      <c r="F89" s="13"/>
    </row>
    <row r="90" spans="1:6" x14ac:dyDescent="0.2">
      <c r="A90" s="133">
        <f>IF(ISBLANK(Schedule1!A90),"",Schedule1!A90)</f>
        <v>30902</v>
      </c>
      <c r="B90" s="104" t="str">
        <f>IF(ISBLANK(Schedule1!B90),"",Schedule1!B90)</f>
        <v>Emulsified asphalt treated aggregate base*</v>
      </c>
      <c r="C90" s="202"/>
      <c r="D90" s="34"/>
      <c r="E90" s="108" t="str">
        <f>IF(ISNUMBER(D90),+C$89*D90, "-")</f>
        <v>-</v>
      </c>
      <c r="F90" s="13"/>
    </row>
    <row r="91" spans="1:6" x14ac:dyDescent="0.2">
      <c r="A91" s="133">
        <f>IF(ISBLANK(Schedule1!A91),"",Schedule1!A91)</f>
        <v>30903</v>
      </c>
      <c r="B91" s="104" t="str">
        <f>IF(ISBLANK(Schedule1!B91),"",Schedule1!B91)</f>
        <v>Emulsified asphalt treated aggregate base*</v>
      </c>
      <c r="C91" s="202"/>
      <c r="D91" s="34"/>
      <c r="E91" s="108" t="str">
        <f>IF(ISNUMBER(D91),+C$89*D91, "-")</f>
        <v>-</v>
      </c>
      <c r="F91" s="13"/>
    </row>
    <row r="92" spans="1:6" x14ac:dyDescent="0.2">
      <c r="A92" s="134" t="str">
        <f>IF(ISBLANK(Schedule1!A92),"",Schedule1!A92)</f>
        <v>Section 310 –</v>
      </c>
      <c r="B92" s="140" t="str">
        <f>IF(ISBLANK(Schedule1!B92),"",Schedule1!B92)</f>
        <v>Cold In-Place (CIP) Recycled Asphalt Base</v>
      </c>
      <c r="C92" s="107" t="s">
        <v>21</v>
      </c>
      <c r="D92" s="143" t="str">
        <f>IF(Units="US CUSTOMARY"," SQYD","m2")</f>
        <v xml:space="preserve"> SQYD</v>
      </c>
      <c r="E92" s="144" t="s">
        <v>22</v>
      </c>
      <c r="F92" s="13"/>
    </row>
    <row r="93" spans="1:6" x14ac:dyDescent="0.2">
      <c r="A93" s="133">
        <f>IF(ISBLANK(Schedule1!A93),"",Schedule1!A93)</f>
        <v>31001</v>
      </c>
      <c r="B93" s="104" t="str">
        <f>IF(ISBLANK(Schedule1!B93),"",Schedule1!B93)</f>
        <v>CIP recycled ashalt base*</v>
      </c>
      <c r="C93" s="202">
        <f>Fuel310</f>
        <v>0.15</v>
      </c>
      <c r="D93" s="34"/>
      <c r="E93" s="108" t="str">
        <f>IF(ISNUMBER(D93),+C$93*D93, "-")</f>
        <v>-</v>
      </c>
      <c r="F93" s="13"/>
    </row>
    <row r="94" spans="1:6" x14ac:dyDescent="0.2">
      <c r="A94" s="133">
        <f>IF(ISBLANK(Schedule1!A94),"",Schedule1!A94)</f>
        <v>31002</v>
      </c>
      <c r="B94" s="55" t="str">
        <f>IF(ISBLANK(Schedule1!B94),"",Schedule1!B94)</f>
        <v>CIP recycled ashalt base</v>
      </c>
      <c r="C94" s="202"/>
      <c r="D94" s="34"/>
      <c r="E94" s="108" t="str">
        <f>IF(ISNUMBER(D94),+C$93*D94, "-")</f>
        <v>-</v>
      </c>
      <c r="F94" s="13"/>
    </row>
    <row r="95" spans="1:6" x14ac:dyDescent="0.2">
      <c r="A95" s="134" t="str">
        <f>IF(ISBLANK(Schedule1!A95),"",Schedule1!A95)</f>
        <v>Section 311 –</v>
      </c>
      <c r="B95" s="140" t="str">
        <f>IF(ISBLANK(Schedule1!B95),"",Schedule1!B95)</f>
        <v>Stabilized Aggregate Base Course</v>
      </c>
      <c r="C95" s="107" t="s">
        <v>21</v>
      </c>
      <c r="D95" s="143" t="str">
        <f>IF(Units="US CUSTOMARY"," Tons"," tonnes")</f>
        <v xml:space="preserve"> Tons</v>
      </c>
      <c r="E95" s="144" t="s">
        <v>22</v>
      </c>
      <c r="F95" s="13"/>
    </row>
    <row r="96" spans="1:6" ht="22.5" x14ac:dyDescent="0.2">
      <c r="A96" s="133" t="str">
        <f>IF(ISBLANK(Schedule1!A96),"",Schedule1!A96)</f>
        <v>31101</v>
      </c>
      <c r="B96" s="55" t="str">
        <f>IF(ISBLANK(Schedule1!B96),"",Schedule1!B96)</f>
        <v>Stabilized aggregate surface course*,imported aggregate*</v>
      </c>
      <c r="C96" s="197">
        <f>Fuel311</f>
        <v>0.7</v>
      </c>
      <c r="D96" s="34"/>
      <c r="E96" s="108" t="str">
        <f>IF(ISNUMBER(D96),+C$96*D96, "-")</f>
        <v>-</v>
      </c>
      <c r="F96" s="13"/>
    </row>
    <row r="97" spans="1:6" ht="22.5" x14ac:dyDescent="0.2">
      <c r="A97" s="133">
        <f>IF(ISBLANK(Schedule1!A97),"",Schedule1!A97)</f>
        <v>31101</v>
      </c>
      <c r="B97" s="55" t="str">
        <f>IF(ISBLANK(Schedule1!B97),"",Schedule1!B97)</f>
        <v>Stabilized aggregate surface course*,in-place aggregate*</v>
      </c>
      <c r="C97" s="197"/>
      <c r="D97" s="34"/>
      <c r="E97" s="108" t="str">
        <f>IF(ISNUMBER(D97),+C$96*D97, "-")</f>
        <v>-</v>
      </c>
      <c r="F97" s="13"/>
    </row>
    <row r="98" spans="1:6" ht="22.5" x14ac:dyDescent="0.2">
      <c r="A98" s="133" t="str">
        <f>IF(ISBLANK(Schedule1!A98),"",Schedule1!A98)</f>
        <v>31102</v>
      </c>
      <c r="B98" s="55" t="str">
        <f>IF(ISBLANK(Schedule1!B98),"",Schedule1!B98)</f>
        <v>Stabilized aggregate surface course*,imported aggregate*</v>
      </c>
      <c r="C98" s="197"/>
      <c r="D98" s="34"/>
      <c r="E98" s="108" t="str">
        <f>IF(ISNUMBER(D98),+C$96*D98, "-")</f>
        <v>-</v>
      </c>
      <c r="F98" s="13"/>
    </row>
    <row r="99" spans="1:6" ht="22.5" x14ac:dyDescent="0.2">
      <c r="A99" s="133">
        <f>IF(ISBLANK(Schedule1!A99),"",Schedule1!A99)</f>
        <v>31102</v>
      </c>
      <c r="B99" s="55" t="str">
        <f>IF(ISBLANK(Schedule1!B99),"",Schedule1!B99)</f>
        <v>Stabilized aggregate surface course*,in-place aggregate*</v>
      </c>
      <c r="C99" s="197"/>
      <c r="D99" s="34"/>
      <c r="E99" s="108" t="str">
        <f>IF(ISNUMBER(D99),+C$96*D99, "-")</f>
        <v>-</v>
      </c>
      <c r="F99" s="13"/>
    </row>
    <row r="100" spans="1:6" x14ac:dyDescent="0.2">
      <c r="A100" s="133" t="str">
        <f>IF(ISBLANK(Schedule1!A100),"",Schedule1!A100)</f>
        <v>31103</v>
      </c>
      <c r="B100" s="55" t="str">
        <f>IF(ISBLANK(Schedule1!B100),"",Schedule1!B100)</f>
        <v>Stabilized aggregate surface course*</v>
      </c>
      <c r="C100" s="203"/>
      <c r="D100" s="34"/>
      <c r="E100" s="108" t="str">
        <f>IF(ISNUMBER(D100),+C$96*D100, "-")</f>
        <v>-</v>
      </c>
      <c r="F100" s="13"/>
    </row>
    <row r="101" spans="1:6" x14ac:dyDescent="0.2">
      <c r="A101" s="134" t="str">
        <f>IF(ISBLANK(Schedule1!A101),"",Schedule1!A101)</f>
        <v>Section 401 –</v>
      </c>
      <c r="B101" s="140" t="str">
        <f>IF(ISBLANK(Schedule1!B101),"",Schedule1!B101)</f>
        <v>ACP by Gyratory Mix Design Method</v>
      </c>
      <c r="C101" s="126" t="s">
        <v>21</v>
      </c>
      <c r="D101" s="128" t="str">
        <f>IF(Units="US CUSTOMARY"," Tons"," tonnes")</f>
        <v xml:space="preserve"> Tons</v>
      </c>
      <c r="E101" s="127" t="s">
        <v>22</v>
      </c>
      <c r="F101" s="13"/>
    </row>
    <row r="102" spans="1:6" x14ac:dyDescent="0.2">
      <c r="A102" s="133" t="str">
        <f>IF(ISBLANK(Schedule1!A102),"",Schedule1!A102)</f>
        <v>40101</v>
      </c>
      <c r="B102" s="104" t="str">
        <f>IF(ISBLANK(Schedule1!B102),"",Schedule1!B102)</f>
        <v>Asphalt concrete pavement, gyratory mix</v>
      </c>
      <c r="C102" s="197">
        <f>Fuel401</f>
        <v>2.4</v>
      </c>
      <c r="D102" s="34"/>
      <c r="E102" s="105" t="str">
        <f>IF(ISNUMBER(D102),+C$102*D102, "-")</f>
        <v>-</v>
      </c>
      <c r="F102" s="13"/>
    </row>
    <row r="103" spans="1:6" ht="22.5" x14ac:dyDescent="0.2">
      <c r="A103" s="133" t="str">
        <f>IF(ISBLANK(Schedule1!A103),"",Schedule1!A103)</f>
        <v>40102</v>
      </c>
      <c r="B103" s="55" t="str">
        <f>IF(ISBLANK(Schedule1!B103),"",Schedule1!B103)</f>
        <v>Asphalt concrete pavement, gyratory mix, wedged and leveling</v>
      </c>
      <c r="C103" s="197"/>
      <c r="D103" s="34"/>
      <c r="E103" s="105" t="str">
        <f>IF(ISNUMBER(D103),+C$102*D103, "-")</f>
        <v>-</v>
      </c>
      <c r="F103" s="13"/>
    </row>
    <row r="104" spans="1:6" ht="24" x14ac:dyDescent="0.2">
      <c r="A104" s="145" t="str">
        <f>IF(ISBLANK(Schedule1!A104),"",Schedule1!A104)</f>
        <v>Section 402 –</v>
      </c>
      <c r="B104" s="147" t="str">
        <f>IF(ISBLANK(Schedule1!B104),"",Schedule1!B104)</f>
        <v>ACP by Hveem or Marshall Mix Design Method</v>
      </c>
      <c r="C104" s="33" t="s">
        <v>21</v>
      </c>
      <c r="D104" s="143" t="str">
        <f>IF(Units="US CUSTOMARY"," Tons"," tonnes")</f>
        <v xml:space="preserve"> Tons</v>
      </c>
      <c r="E104" s="146" t="s">
        <v>22</v>
      </c>
      <c r="F104" s="13"/>
    </row>
    <row r="105" spans="1:6" x14ac:dyDescent="0.2">
      <c r="A105" s="133" t="str">
        <f>IF(ISBLANK(Schedule1!A105),"",Schedule1!A105)</f>
        <v>40201</v>
      </c>
      <c r="B105" s="104" t="str">
        <f>IF(ISBLANK(Schedule1!B105),"",Schedule1!B105)</f>
        <v>ACP Hveem or Marshall Mix Design Method</v>
      </c>
      <c r="C105" s="197">
        <f>Fuel402</f>
        <v>2.4</v>
      </c>
      <c r="D105" s="34"/>
      <c r="E105" s="105" t="str">
        <f>IF(ISNUMBER(D105),+C$105*D105, "-")</f>
        <v>-</v>
      </c>
      <c r="F105" s="13"/>
    </row>
    <row r="106" spans="1:6" ht="22.5" x14ac:dyDescent="0.2">
      <c r="A106" s="133" t="str">
        <f>IF(ISBLANK(Schedule1!A106),"",Schedule1!A106)</f>
        <v>40202</v>
      </c>
      <c r="B106" s="55" t="str">
        <f>IF(ISBLANK(Schedule1!B106),"",Schedule1!B106)</f>
        <v>ACP Hveen or Marshall Mix, wedge and leveling course</v>
      </c>
      <c r="C106" s="197"/>
      <c r="D106" s="34"/>
      <c r="E106" s="105" t="str">
        <f>IF(ISNUMBER(D106),+C$105*D106, "-")</f>
        <v>-</v>
      </c>
      <c r="F106" s="13"/>
    </row>
    <row r="107" spans="1:6" x14ac:dyDescent="0.2">
      <c r="A107" s="145" t="str">
        <f>IF(ISBLANK(Schedule1!A107),"",Schedule1!A107)</f>
        <v>Section 403 –</v>
      </c>
      <c r="B107" s="147" t="str">
        <f>IF(ISBLANK(Schedule1!B107),"",Schedule1!B107)</f>
        <v>Asphalt Concrete</v>
      </c>
      <c r="C107" s="33" t="s">
        <v>21</v>
      </c>
      <c r="D107" s="143" t="str">
        <f>IF(Units="US CUSTOMARY"," Tons"," tonnes")</f>
        <v xml:space="preserve"> Tons</v>
      </c>
      <c r="E107" s="146" t="s">
        <v>22</v>
      </c>
      <c r="F107" s="13"/>
    </row>
    <row r="108" spans="1:6" x14ac:dyDescent="0.2">
      <c r="A108" s="133">
        <f>IF(ISBLANK(Schedule1!A108),"",Schedule1!A108)</f>
        <v>40301</v>
      </c>
      <c r="B108" s="104" t="str">
        <f>IF(ISBLANK(Schedule1!B108),"",Schedule1!B108)</f>
        <v>Asphalt concrete pavement</v>
      </c>
      <c r="C108" s="197">
        <f>Fuel403</f>
        <v>2.4</v>
      </c>
      <c r="D108" s="34"/>
      <c r="E108" s="105" t="str">
        <f>IF(ISNUMBER(D108),+C$108*D108, "-")</f>
        <v>-</v>
      </c>
      <c r="F108" s="13"/>
    </row>
    <row r="109" spans="1:6" x14ac:dyDescent="0.2">
      <c r="A109" s="133">
        <f>IF(ISBLANK(Schedule1!A109),"",Schedule1!A109)</f>
        <v>40302</v>
      </c>
      <c r="B109" s="104" t="str">
        <f>IF(ISBLANK(Schedule1!B109),"",Schedule1!B109)</f>
        <v>Asphalt concrete pavement*</v>
      </c>
      <c r="C109" s="197"/>
      <c r="D109" s="34"/>
      <c r="E109" s="105" t="str">
        <f>IF(ISNUMBER(D109),+C$108*D109, "-")</f>
        <v>-</v>
      </c>
      <c r="F109" s="13"/>
    </row>
    <row r="110" spans="1:6" ht="22.5" x14ac:dyDescent="0.2">
      <c r="A110" s="133">
        <f>IF(ISBLANK(Schedule1!A110),"",Schedule1!A110)</f>
        <v>40303</v>
      </c>
      <c r="B110" s="55" t="str">
        <f>IF(ISBLANK(Schedule1!B110),"",Schedule1!B110)</f>
        <v>Asphalt concrete pavement, wedge and leveling course</v>
      </c>
      <c r="C110" s="197"/>
      <c r="D110" s="34"/>
      <c r="E110" s="105" t="str">
        <f>IF(ISNUMBER(D110),+C$108*D110, "-")</f>
        <v>-</v>
      </c>
      <c r="F110" s="13"/>
    </row>
    <row r="111" spans="1:6" ht="12.75" customHeight="1" x14ac:dyDescent="0.2">
      <c r="A111" s="101"/>
      <c r="B111" s="35"/>
      <c r="C111" s="49"/>
      <c r="D111" s="46"/>
      <c r="E111" s="24"/>
      <c r="F111" s="24"/>
    </row>
    <row r="112" spans="1:6" ht="18.75" thickBot="1" x14ac:dyDescent="0.3">
      <c r="A112" s="200" t="s">
        <v>78</v>
      </c>
      <c r="B112" s="200"/>
      <c r="C112" s="200"/>
      <c r="D112" s="200"/>
      <c r="E112" s="200"/>
      <c r="F112" s="200"/>
    </row>
    <row r="113" spans="1:6" ht="14.25" thickTop="1" thickBot="1" x14ac:dyDescent="0.25">
      <c r="A113" s="70"/>
      <c r="B113" s="96" t="s">
        <v>94</v>
      </c>
      <c r="C113" s="98" t="str">
        <f>FP</f>
        <v>FP-14</v>
      </c>
      <c r="D113" s="73"/>
      <c r="E113" s="73"/>
      <c r="F113" s="73"/>
    </row>
    <row r="114" spans="1:6" ht="14.25" thickTop="1" thickBot="1" x14ac:dyDescent="0.25">
      <c r="A114" s="70"/>
      <c r="B114" s="70"/>
      <c r="C114" s="74"/>
      <c r="D114" s="73"/>
      <c r="E114" s="64" t="s">
        <v>1</v>
      </c>
      <c r="F114" s="65">
        <f ca="1">Date</f>
        <v>45469</v>
      </c>
    </row>
    <row r="115" spans="1:6" ht="14.25" thickTop="1" thickBot="1" x14ac:dyDescent="0.25">
      <c r="A115" s="61" t="s">
        <v>0</v>
      </c>
      <c r="B115" s="120" t="str">
        <f>ProjNum</f>
        <v>WA WFL Test(1)</v>
      </c>
      <c r="C115" s="99"/>
      <c r="D115" s="100"/>
      <c r="E115" s="66" t="s">
        <v>3</v>
      </c>
      <c r="F115" s="98" t="str">
        <f>SchedType</f>
        <v>Option</v>
      </c>
    </row>
    <row r="116" spans="1:6" ht="14.25" thickTop="1" thickBot="1" x14ac:dyDescent="0.25">
      <c r="A116" s="61" t="s">
        <v>2</v>
      </c>
      <c r="B116" s="201" t="str">
        <f>ProjName</f>
        <v>Wafflehead Park Road</v>
      </c>
      <c r="C116" s="201"/>
      <c r="D116" s="201"/>
      <c r="E116" s="66" t="s">
        <v>5</v>
      </c>
      <c r="F116" s="98" t="str">
        <f>SchedLet</f>
        <v>X</v>
      </c>
    </row>
    <row r="117" spans="1:6" ht="14.25" thickTop="1" thickBot="1" x14ac:dyDescent="0.25">
      <c r="A117" s="61"/>
      <c r="B117" s="75"/>
      <c r="C117" s="75"/>
      <c r="D117" s="75"/>
      <c r="E117" s="64" t="s">
        <v>7</v>
      </c>
      <c r="F117" s="98" t="str">
        <f>Units</f>
        <v>US CUSTOMARY</v>
      </c>
    </row>
    <row r="118" spans="1:6" ht="14.25" thickTop="1" thickBot="1" x14ac:dyDescent="0.25">
      <c r="A118" s="2"/>
      <c r="B118" s="2"/>
      <c r="C118" s="3"/>
      <c r="D118" s="4"/>
      <c r="E118" s="6"/>
      <c r="F118" s="5"/>
    </row>
    <row r="119" spans="1:6" ht="19.5" customHeight="1" thickBot="1" x14ac:dyDescent="0.25">
      <c r="A119" s="41" t="s">
        <v>45</v>
      </c>
      <c r="B119" s="42"/>
      <c r="C119" s="42"/>
      <c r="D119" s="42"/>
      <c r="E119" s="42"/>
      <c r="F119" s="43"/>
    </row>
    <row r="120" spans="1:6" x14ac:dyDescent="0.2">
      <c r="A120" s="7"/>
      <c r="B120" s="23"/>
      <c r="C120" s="24"/>
      <c r="D120" s="24"/>
      <c r="E120" s="24"/>
      <c r="F120" s="24"/>
    </row>
    <row r="121" spans="1:6" ht="15" customHeight="1" x14ac:dyDescent="0.2">
      <c r="A121" s="145" t="str">
        <f>IF(ISBLANK(Schedule1!A121),"",Schedule1!A121)</f>
        <v>Section 404 –</v>
      </c>
      <c r="B121" s="147" t="str">
        <f>IF(ISBLANK(Schedule1!B121),"",Schedule1!B121)</f>
        <v>RESERVED</v>
      </c>
      <c r="C121" s="33" t="s">
        <v>21</v>
      </c>
      <c r="D121" s="143" t="str">
        <f>IF(Units="US CUSTOMARY"," Tons"," tonnes")</f>
        <v xml:space="preserve"> Tons</v>
      </c>
      <c r="E121" s="146" t="s">
        <v>22</v>
      </c>
      <c r="F121" s="24"/>
    </row>
    <row r="122" spans="1:6" x14ac:dyDescent="0.2">
      <c r="A122" s="33" t="str">
        <f>IF(ISBLANK(Schedule1!A122),"",Schedule1!A122)</f>
        <v>-</v>
      </c>
      <c r="B122" s="104" t="str">
        <f>IF(ISBLANK(Schedule1!B122),"",Schedule1!B122)</f>
        <v>-</v>
      </c>
      <c r="C122" s="198">
        <f>Fuel404</f>
        <v>2.4</v>
      </c>
      <c r="D122" s="34"/>
      <c r="E122" s="105" t="str">
        <f>IF(ISNUMBER(D122),+C$122*D122, "-")</f>
        <v>-</v>
      </c>
      <c r="F122" s="24"/>
    </row>
    <row r="123" spans="1:6" x14ac:dyDescent="0.2">
      <c r="A123" s="33" t="str">
        <f>IF(ISBLANK(Schedule1!A123),"",Schedule1!A123)</f>
        <v>-</v>
      </c>
      <c r="B123" s="104" t="str">
        <f>IF(ISBLANK(Schedule1!B123),"",Schedule1!B123)</f>
        <v>-</v>
      </c>
      <c r="C123" s="199"/>
      <c r="D123" s="34"/>
      <c r="E123" s="105" t="str">
        <f>IF(ISNUMBER(D123),+C$122*D123, "-")</f>
        <v>-</v>
      </c>
      <c r="F123" s="24"/>
    </row>
    <row r="124" spans="1:6" ht="15" customHeight="1" x14ac:dyDescent="0.2">
      <c r="A124" s="145" t="str">
        <f>IF(ISBLANK(Schedule1!A124),"",Schedule1!A124)</f>
        <v>Section 405 –</v>
      </c>
      <c r="B124" s="147" t="str">
        <f>IF(ISBLANK(Schedule1!B124),"",Schedule1!B124)</f>
        <v>Open-Graded Asphalt Friction</v>
      </c>
      <c r="C124" s="33" t="s">
        <v>21</v>
      </c>
      <c r="D124" s="143" t="str">
        <f>IF(Units="US CUSTOMARY"," Tons"," tonnes")</f>
        <v xml:space="preserve"> Tons</v>
      </c>
      <c r="E124" s="146" t="s">
        <v>22</v>
      </c>
      <c r="F124" s="24"/>
    </row>
    <row r="125" spans="1:6" ht="15" x14ac:dyDescent="0.2">
      <c r="A125" s="33">
        <f>IF(ISBLANK(Schedule1!A125),"",Schedule1!A125)</f>
        <v>40501</v>
      </c>
      <c r="B125" s="106" t="str">
        <f>IF(ISBLANK(Schedule1!B125),"",Schedule1!B125)</f>
        <v>Open-graded asphalt friction course</v>
      </c>
      <c r="C125" s="121">
        <f>Fuel405</f>
        <v>2.4</v>
      </c>
      <c r="D125" s="34"/>
      <c r="E125" s="105" t="str">
        <f>IF(ISNUMBER(D125),+C$125*D125, "-")</f>
        <v>-</v>
      </c>
      <c r="F125" s="24"/>
    </row>
    <row r="126" spans="1:6" ht="15" customHeight="1" x14ac:dyDescent="0.2">
      <c r="A126" s="145" t="str">
        <f>IF(ISBLANK(Schedule1!A126),"",Schedule1!A126)</f>
        <v>Section 408 –</v>
      </c>
      <c r="B126" s="147" t="str">
        <f>IF(ISBLANK(Schedule1!B126),"",Schedule1!B126)</f>
        <v>Cold Recycled Asphalt Base Course</v>
      </c>
      <c r="C126" s="33" t="s">
        <v>21</v>
      </c>
      <c r="D126" s="143" t="str">
        <f>IF(Units="US CUSTOMARY"," Tons"," tonnes")</f>
        <v xml:space="preserve"> Tons</v>
      </c>
      <c r="E126" s="146" t="s">
        <v>22</v>
      </c>
      <c r="F126" s="13"/>
    </row>
    <row r="127" spans="1:6" ht="12.75" customHeight="1" x14ac:dyDescent="0.2">
      <c r="A127" s="33" t="str">
        <f>IF(ISBLANK(Schedule1!A127),"",Schedule1!A127)</f>
        <v>40801</v>
      </c>
      <c r="B127" s="104" t="str">
        <f>IF(ISBLANK(Schedule1!B127),"",Schedule1!B127)</f>
        <v>Cold recycled asphalt base course</v>
      </c>
      <c r="C127" s="198">
        <f>Fuel408</f>
        <v>0.7</v>
      </c>
      <c r="D127" s="34"/>
      <c r="E127" s="105" t="str">
        <f>IF(ISNUMBER(D127),+C$127*D127, "-")</f>
        <v>-</v>
      </c>
      <c r="F127" s="13"/>
    </row>
    <row r="128" spans="1:6" ht="12.75" customHeight="1" x14ac:dyDescent="0.2">
      <c r="A128" s="33" t="str">
        <f>IF(ISBLANK(Schedule1!A128),"",Schedule1!A128)</f>
        <v>40802</v>
      </c>
      <c r="B128" s="104" t="str">
        <f>IF(ISBLANK(Schedule1!B128),"",Schedule1!B128)</f>
        <v>Cold recycled asphalt base course*</v>
      </c>
      <c r="C128" s="199"/>
      <c r="D128" s="34"/>
      <c r="E128" s="105" t="str">
        <f>IF(ISNUMBER(D128),+C$127*D128, "-")</f>
        <v>-</v>
      </c>
      <c r="F128" s="13"/>
    </row>
    <row r="129" spans="1:7" ht="15" customHeight="1" x14ac:dyDescent="0.2">
      <c r="A129" s="145" t="str">
        <f>IF(ISBLANK(Schedule1!A129),"",Schedule1!A129)</f>
        <v>Section 501 –</v>
      </c>
      <c r="B129" s="147" t="str">
        <f>IF(ISBLANK(Schedule1!B129),"",Schedule1!B129)</f>
        <v>Minor Concrete Pavement</v>
      </c>
      <c r="C129" s="33" t="s">
        <v>21</v>
      </c>
      <c r="D129" s="143" t="str">
        <f>IF(Units="US CUSTOMARY"," SQYD","m2")</f>
        <v xml:space="preserve"> SQYD</v>
      </c>
      <c r="E129" s="146" t="s">
        <v>22</v>
      </c>
      <c r="F129" s="13"/>
    </row>
    <row r="130" spans="1:7" ht="12.75" customHeight="1" x14ac:dyDescent="0.2">
      <c r="A130" s="33">
        <f>IF(ISBLANK(Schedule1!A130),"",Schedule1!A130)</f>
        <v>50101</v>
      </c>
      <c r="B130" s="104" t="str">
        <f>IF(ISBLANK(Schedule1!B130),"",Schedule1!B130)</f>
        <v>Minor concrete pacement, reinforced</v>
      </c>
      <c r="C130" s="198">
        <f>Fuel501</f>
        <v>0.6</v>
      </c>
      <c r="D130" s="34"/>
      <c r="E130" s="105" t="str">
        <f>IF(ISNUMBER(D130),+C$130*D130, "-")</f>
        <v>-</v>
      </c>
      <c r="F130" s="13"/>
    </row>
    <row r="131" spans="1:7" ht="12.75" customHeight="1" x14ac:dyDescent="0.2">
      <c r="A131" s="33">
        <f>IF(ISBLANK(Schedule1!A131),"",Schedule1!A131)</f>
        <v>50102</v>
      </c>
      <c r="B131" s="104" t="str">
        <f>IF(ISBLANK(Schedule1!B131),"",Schedule1!B131)</f>
        <v>Minor concrete pavement, plain</v>
      </c>
      <c r="C131" s="199"/>
      <c r="D131" s="34"/>
      <c r="E131" s="105" t="str">
        <f>IF(ISNUMBER(D131),+C$130*D131, "-")</f>
        <v>-</v>
      </c>
      <c r="F131" s="13"/>
    </row>
    <row r="132" spans="1:7" ht="12.75" customHeight="1" x14ac:dyDescent="0.2">
      <c r="A132" s="154" t="str">
        <f>IF(ISBLANK(Schedule1!A132),"",Schedule1!A132)</f>
        <v>* The Government, to agree with the units associated with the applicable Fuel Usage Factor, will convert work quantities, as necessary.</v>
      </c>
      <c r="B132" s="25"/>
      <c r="C132" s="26"/>
      <c r="D132" s="27"/>
      <c r="E132" s="27"/>
      <c r="F132" s="27"/>
    </row>
    <row r="133" spans="1:7" ht="12.75" customHeight="1" x14ac:dyDescent="0.2">
      <c r="A133" s="25"/>
      <c r="B133" s="25"/>
      <c r="C133" s="26"/>
      <c r="D133" s="27"/>
      <c r="E133" s="27"/>
      <c r="F133" s="27"/>
    </row>
    <row r="134" spans="1:7" ht="12.75" customHeight="1" x14ac:dyDescent="0.2">
      <c r="A134" s="25"/>
      <c r="B134" s="25"/>
      <c r="C134" s="26"/>
      <c r="D134" s="27"/>
      <c r="E134" s="27"/>
      <c r="F134" s="27"/>
    </row>
    <row r="135" spans="1:7" ht="18" x14ac:dyDescent="0.2">
      <c r="A135" s="155"/>
      <c r="B135" s="39"/>
      <c r="C135" s="40" t="str">
        <f>IF(ISBLANK(Schedule1!C135),"",Schedule1!C135)</f>
        <v xml:space="preserve">Total Quantity of Work x FUF (see 109.06, Table 1)   = </v>
      </c>
      <c r="D135" s="111">
        <f>SUM(E61:E132)</f>
        <v>0</v>
      </c>
      <c r="E135" s="7"/>
      <c r="F135" s="7"/>
      <c r="G135" s="76"/>
    </row>
    <row r="136" spans="1:7" ht="18" x14ac:dyDescent="0.2">
      <c r="A136" s="7"/>
      <c r="B136" s="112"/>
      <c r="C136" s="113" t="str">
        <f>IF(ISBLANK(Schedule1!C136),"",Schedule1!C136)</f>
        <v>BPI for Low Sulfur, No. 2 Diesel Fuel per Gallon</v>
      </c>
      <c r="D136" s="114"/>
      <c r="E136" s="24"/>
      <c r="F136" s="24"/>
      <c r="G136" s="76"/>
    </row>
    <row r="137" spans="1:7" ht="18" x14ac:dyDescent="0.2">
      <c r="A137" s="7"/>
      <c r="B137" s="115"/>
      <c r="C137" s="113" t="str">
        <f>IF(ISBLANK(Schedule1!C137),"",Schedule1!C137)</f>
        <v>Max MPPI (BPI x 1.6)</v>
      </c>
      <c r="D137" s="116">
        <f>IFERROR(D136*1.6,"-")</f>
        <v>0</v>
      </c>
      <c r="E137" s="24"/>
      <c r="F137" s="24"/>
      <c r="G137" s="76"/>
    </row>
    <row r="138" spans="1:7" ht="18" x14ac:dyDescent="0.2">
      <c r="A138" s="25"/>
      <c r="B138" s="115"/>
      <c r="C138" s="117" t="str">
        <f>IF(ISBLANK(Schedule1!C138),"",Schedule1!C138)</f>
        <v>Maximum Payment to Contractor</v>
      </c>
      <c r="D138" s="148">
        <f>IFERROR((1.6-1.1)*D136*D135,"-")</f>
        <v>0</v>
      </c>
      <c r="E138" s="27"/>
      <c r="F138" s="27"/>
      <c r="G138" s="76"/>
    </row>
    <row r="139" spans="1:7" ht="18" x14ac:dyDescent="0.15">
      <c r="A139" s="25"/>
      <c r="B139" s="115"/>
      <c r="C139" s="117" t="str">
        <f>IF(ISBLANK(Schedule1!C139),"",Schedule1!C139)</f>
        <v>% of Max. Payment to Contractor (15%-30%)</v>
      </c>
      <c r="D139" s="149"/>
      <c r="E139" s="28"/>
      <c r="F139" s="29"/>
      <c r="G139" s="76"/>
    </row>
    <row r="140" spans="1:7" ht="18" x14ac:dyDescent="0.15">
      <c r="A140" s="25"/>
      <c r="B140" s="118"/>
      <c r="C140" s="119" t="s">
        <v>51</v>
      </c>
      <c r="D140" s="110">
        <f>SUM(D139)*D138</f>
        <v>0</v>
      </c>
      <c r="E140" s="28"/>
      <c r="F140" s="29"/>
      <c r="G140" s="76"/>
    </row>
    <row r="141" spans="1:7" x14ac:dyDescent="0.2">
      <c r="A141" s="25"/>
      <c r="B141" s="25"/>
      <c r="C141" s="37"/>
      <c r="D141" s="38"/>
      <c r="E141" s="28"/>
      <c r="F141" s="29"/>
    </row>
    <row r="142" spans="1:7" x14ac:dyDescent="0.2">
      <c r="A142" s="30"/>
      <c r="B142" s="31"/>
      <c r="C142" s="26"/>
      <c r="D142" s="27"/>
      <c r="E142" s="27"/>
      <c r="F142" s="27"/>
    </row>
    <row r="143" spans="1:7" ht="13.5" thickBot="1" x14ac:dyDescent="0.2">
      <c r="A143" s="25"/>
      <c r="B143" s="25"/>
      <c r="C143" s="26"/>
      <c r="D143" s="27"/>
      <c r="E143" s="28"/>
      <c r="F143" s="29"/>
    </row>
    <row r="144" spans="1:7" ht="19.5" customHeight="1" thickBot="1" x14ac:dyDescent="0.25">
      <c r="A144" s="150" t="s">
        <v>52</v>
      </c>
      <c r="B144" s="44"/>
      <c r="C144" s="44"/>
      <c r="D144" s="44"/>
      <c r="E144" s="44"/>
      <c r="F144" s="45"/>
    </row>
    <row r="145" spans="1:7" x14ac:dyDescent="0.2">
      <c r="A145" s="30"/>
      <c r="B145" s="31"/>
      <c r="C145" s="26"/>
      <c r="D145" s="27"/>
      <c r="E145" s="27"/>
      <c r="F145" s="27"/>
    </row>
    <row r="146" spans="1:7" x14ac:dyDescent="0.2">
      <c r="A146" s="7"/>
      <c r="B146" s="23"/>
      <c r="C146" s="24"/>
      <c r="D146" s="24"/>
      <c r="E146" s="24"/>
      <c r="F146" s="24"/>
    </row>
    <row r="147" spans="1:7" ht="18.75" thickBot="1" x14ac:dyDescent="0.2">
      <c r="A147" s="25"/>
      <c r="B147" s="39"/>
      <c r="C147" s="40" t="s">
        <v>53</v>
      </c>
      <c r="D147" s="151"/>
      <c r="E147" s="28"/>
      <c r="F147" s="29"/>
      <c r="G147" s="76"/>
    </row>
    <row r="148" spans="1:7" ht="18.75" thickTop="1" x14ac:dyDescent="0.15">
      <c r="A148" s="25"/>
      <c r="B148" s="112"/>
      <c r="C148" s="113" t="s">
        <v>54</v>
      </c>
      <c r="D148" s="152"/>
      <c r="E148" s="28"/>
      <c r="F148" s="29"/>
      <c r="G148" s="76"/>
    </row>
    <row r="149" spans="1:7" ht="18" x14ac:dyDescent="0.15">
      <c r="A149" s="25"/>
      <c r="B149" s="115"/>
      <c r="C149" s="113" t="s">
        <v>48</v>
      </c>
      <c r="D149" s="116">
        <f>IFERROR(D148*1.6,"-")</f>
        <v>0</v>
      </c>
      <c r="E149" s="28"/>
      <c r="F149" s="29"/>
      <c r="G149" s="76"/>
    </row>
    <row r="150" spans="1:7" ht="18" x14ac:dyDescent="0.15">
      <c r="A150" s="25"/>
      <c r="B150" s="115"/>
      <c r="C150" s="117" t="s">
        <v>55</v>
      </c>
      <c r="D150" s="148">
        <f>IFERROR((1.6-1.1)*D148*(D147*0.06),"-")</f>
        <v>0</v>
      </c>
      <c r="E150" s="28"/>
      <c r="F150" s="29"/>
      <c r="G150" s="76"/>
    </row>
    <row r="151" spans="1:7" ht="18" x14ac:dyDescent="0.15">
      <c r="A151" s="25"/>
      <c r="B151" s="115"/>
      <c r="C151" s="117" t="s">
        <v>50</v>
      </c>
      <c r="D151" s="149"/>
      <c r="E151" s="28"/>
      <c r="F151" s="29"/>
      <c r="G151" s="76"/>
    </row>
    <row r="152" spans="1:7" ht="18" x14ac:dyDescent="0.2">
      <c r="A152" s="25"/>
      <c r="B152" s="118"/>
      <c r="C152" s="119" t="s">
        <v>56</v>
      </c>
      <c r="D152" s="110">
        <f>SUM(D151)*D150</f>
        <v>0</v>
      </c>
      <c r="E152" s="27"/>
      <c r="F152" s="27"/>
      <c r="G152" s="76"/>
    </row>
    <row r="153" spans="1:7" x14ac:dyDescent="0.2">
      <c r="A153" s="25"/>
      <c r="B153" s="25"/>
      <c r="C153" s="26"/>
      <c r="D153" s="27"/>
      <c r="E153" s="27"/>
      <c r="F153" s="27"/>
    </row>
    <row r="154" spans="1:7" x14ac:dyDescent="0.2">
      <c r="A154" s="30"/>
      <c r="B154" s="31"/>
      <c r="C154" s="26"/>
      <c r="D154" s="27"/>
      <c r="E154" s="27"/>
      <c r="F154" s="27"/>
    </row>
    <row r="155" spans="1:7" x14ac:dyDescent="0.2">
      <c r="A155" s="31"/>
      <c r="B155" s="31"/>
      <c r="C155" s="26"/>
      <c r="D155" s="27"/>
      <c r="E155" s="27"/>
      <c r="F155" s="27"/>
    </row>
  </sheetData>
  <dataConsolidate/>
  <mergeCells count="26">
    <mergeCell ref="A32:E32"/>
    <mergeCell ref="A1:F1"/>
    <mergeCell ref="B5:D5"/>
    <mergeCell ref="A8:F8"/>
    <mergeCell ref="A18:F18"/>
    <mergeCell ref="A25:F25"/>
    <mergeCell ref="C96:C100"/>
    <mergeCell ref="A34:F34"/>
    <mergeCell ref="A41:E41"/>
    <mergeCell ref="A52:F52"/>
    <mergeCell ref="B56:D56"/>
    <mergeCell ref="C62:C66"/>
    <mergeCell ref="C68:C71"/>
    <mergeCell ref="C73:C80"/>
    <mergeCell ref="C82:C83"/>
    <mergeCell ref="C85:C87"/>
    <mergeCell ref="C89:C91"/>
    <mergeCell ref="C93:C94"/>
    <mergeCell ref="C127:C128"/>
    <mergeCell ref="C130:C131"/>
    <mergeCell ref="C102:C103"/>
    <mergeCell ref="C105:C106"/>
    <mergeCell ref="C108:C110"/>
    <mergeCell ref="A112:F112"/>
    <mergeCell ref="B116:D116"/>
    <mergeCell ref="C122:C123"/>
  </mergeCells>
  <conditionalFormatting sqref="A61:E131">
    <cfRule type="expression" dxfId="2" priority="1">
      <formula>$C61="FUF"</formula>
    </cfRule>
  </conditionalFormatting>
  <dataValidations count="8">
    <dataValidation allowBlank="1" showInputMessage="1" showErrorMessage="1" promptTitle="Enter project name" prompt="Example:  Pinto Basin Road" sqref="B6:D6" xr:uid="{620A936F-AA61-4CF4-BECF-82C6411DD50E}"/>
    <dataValidation type="list" allowBlank="1" showInputMessage="1" showErrorMessage="1" promptTitle="Select Schedule Type" prompt="Select Base, Option, or Alternate" sqref="F4" xr:uid="{46BDEC5C-83DF-46DF-B089-72F7F80F7449}">
      <formula1>", Base, Option, Alternate"</formula1>
    </dataValidation>
    <dataValidation type="whole" operator="greaterThanOrEqual" allowBlank="1" showInputMessage="1" showErrorMessage="1" error="Bid decimals set to zero._x000a__x000a_Contact Heidi Hirsbrunner (X3622)_x000a__x000a_to modify Incentive Spreadsheet." sqref="D108:D110 D93:D94 D130:D131 D102:D103 D89:D91 D125 D122:D123 D127:D128 D85:D87 D105:D106 D96:D100" xr:uid="{7599CC39-0D27-4821-A0CD-F65B8EBF0E9D}">
      <formula1>0</formula1>
    </dataValidation>
    <dataValidation type="whole" operator="greaterThanOrEqual" allowBlank="1" showInputMessage="1" showErrorMessage="1" error="Bid decimals set to zero._x000a__x000a_Contact Heidi Hirsbrunner (X3622) _x000a__x000a_to modify Incentive Spreadsheet." sqref="D73:D80 D82:D83" xr:uid="{0872A668-2239-4965-9AEC-7205E6DBEB3F}">
      <formula1>0</formula1>
    </dataValidation>
    <dataValidation type="whole" operator="greaterThanOrEqual" allowBlank="1" showInputMessage="1" showErrorMessage="1" error="Bid decimals set to zero._x000a__x000a_Contact Heidi Hirsbrunner (X3622)_x000a_                   _x000a_to modify Incentive Spreadsheet." sqref="D68:D71 D62:D66" xr:uid="{11B833E5-37B3-493F-A3E1-D7713DD6CCC3}">
      <formula1>0</formula1>
    </dataValidation>
    <dataValidation type="whole" operator="greaterThanOrEqual" allowBlank="1" showInputMessage="1" showErrorMessage="1" error="Bid decimals set to zero._x000a__x000a_Contact Heidi Hirsbrunner (X3622)_x000a_                _x000a_to modify Incentive Spreadsheet." sqref="C36:C38 C10:C17 C20:C23 C27:C29" xr:uid="{AA056614-C8F6-4F21-9BEC-A13E14D31BBF}">
      <formula1>0</formula1>
    </dataValidation>
    <dataValidation type="whole" operator="greaterThanOrEqual" allowBlank="1" showInputMessage="1" showErrorMessage="1" error="Bid decimals set to zero._x000a__x000a_Contact Steve Chapman (X7801)_x000a_                   or_x000a_    Greg Kwock (X7987)_x000a__x000a_to modify Incentive Spreadsheet." sqref="C24 C30 C111" xr:uid="{761AE6ED-65B7-4015-87F3-9D40C3EF0D2F}">
      <formula1>0</formula1>
    </dataValidation>
    <dataValidation type="list" showInputMessage="1" showErrorMessage="1" error="Please use drop-down menu to select a schedule letter" promptTitle="Choose Letter" prompt="If you need more than six schedules, then copy addtional sheet tabs and calculate incentives separately for each schedule._x000a__x000a_Sheets tabs can be copied by left clicking the active tab, choosing 'Move or Copy', then clicking the 'Create Copy' checkbox.  " sqref="F5" xr:uid="{50CC0137-0A93-48DC-A9A2-D5C43F46D9F0}">
      <formula1>"  , A, B, C, D, E, F, G, W, X, Y, Z"</formula1>
    </dataValidation>
  </dataValidations>
  <printOptions horizontalCentered="1"/>
  <pageMargins left="0.45" right="0.45" top="0.6" bottom="0.25" header="0" footer="0.05"/>
  <pageSetup scale="81" fitToHeight="2" orientation="portrait" r:id="rId1"/>
  <headerFooter>
    <oddFooter>&amp;RRev. 04-23-2024</oddFooter>
  </headerFooter>
  <rowBreaks count="2" manualBreakCount="2">
    <brk id="51" max="7" man="1"/>
    <brk id="111" max="6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B80CA-8B36-472A-AD4F-3C62A5F3968F}">
  <dimension ref="A1:G155"/>
  <sheetViews>
    <sheetView showGridLines="0" zoomScaleNormal="100" workbookViewId="0">
      <selection activeCell="F5" sqref="F5"/>
    </sheetView>
  </sheetViews>
  <sheetFormatPr defaultColWidth="9.140625" defaultRowHeight="12.75" x14ac:dyDescent="0.2"/>
  <cols>
    <col min="1" max="1" width="14.7109375" style="1" customWidth="1"/>
    <col min="2" max="2" width="36.7109375" style="1" customWidth="1"/>
    <col min="3" max="3" width="14.7109375" style="20" customWidth="1"/>
    <col min="4" max="5" width="14.7109375" style="21" customWidth="1"/>
    <col min="6" max="6" width="16.7109375" style="21" customWidth="1"/>
    <col min="7" max="16384" width="9.140625" style="1"/>
  </cols>
  <sheetData>
    <row r="1" spans="1:7" ht="24" thickBot="1" x14ac:dyDescent="0.25">
      <c r="A1" s="206" t="s">
        <v>77</v>
      </c>
      <c r="B1" s="206"/>
      <c r="C1" s="206"/>
      <c r="D1" s="206"/>
      <c r="E1" s="206"/>
      <c r="F1" s="206"/>
      <c r="G1" s="77" t="s">
        <v>91</v>
      </c>
    </row>
    <row r="2" spans="1:7" ht="14.25" thickTop="1" thickBot="1" x14ac:dyDescent="0.25">
      <c r="A2" s="70"/>
      <c r="B2" s="96" t="s">
        <v>94</v>
      </c>
      <c r="C2" s="98" t="str">
        <f>FP</f>
        <v>FP-14</v>
      </c>
      <c r="D2" s="73"/>
      <c r="E2" s="73"/>
      <c r="F2" s="73"/>
    </row>
    <row r="3" spans="1:7" ht="19.5" thickTop="1" thickBot="1" x14ac:dyDescent="0.25">
      <c r="A3" s="70"/>
      <c r="B3" s="70"/>
      <c r="C3" s="74"/>
      <c r="D3" s="73"/>
      <c r="E3" s="64" t="s">
        <v>1</v>
      </c>
      <c r="F3" s="65">
        <f ca="1" xml:space="preserve"> TODAY()</f>
        <v>45469</v>
      </c>
      <c r="G3" s="76"/>
    </row>
    <row r="4" spans="1:7" ht="19.5" thickTop="1" thickBot="1" x14ac:dyDescent="0.25">
      <c r="A4" s="96" t="s">
        <v>107</v>
      </c>
      <c r="B4" s="120" t="str">
        <f>ProjNum</f>
        <v>WA WFL Test(1)</v>
      </c>
      <c r="C4" s="99"/>
      <c r="D4" s="100"/>
      <c r="E4" s="66" t="s">
        <v>3</v>
      </c>
      <c r="F4" s="67" t="s">
        <v>59</v>
      </c>
      <c r="G4" s="76"/>
    </row>
    <row r="5" spans="1:7" ht="19.5" thickTop="1" thickBot="1" x14ac:dyDescent="0.25">
      <c r="A5" s="96" t="s">
        <v>108</v>
      </c>
      <c r="B5" s="201" t="str">
        <f>ProjName</f>
        <v>Wafflehead Park Road</v>
      </c>
      <c r="C5" s="201"/>
      <c r="D5" s="201"/>
      <c r="E5" s="66" t="s">
        <v>5</v>
      </c>
      <c r="F5" s="68" t="s">
        <v>61</v>
      </c>
      <c r="G5" s="76"/>
    </row>
    <row r="6" spans="1:7" ht="19.5" thickTop="1" thickBot="1" x14ac:dyDescent="0.25">
      <c r="A6" s="61"/>
      <c r="B6" s="75"/>
      <c r="C6" s="75"/>
      <c r="D6" s="75"/>
      <c r="E6" s="64" t="s">
        <v>7</v>
      </c>
      <c r="F6" s="98" t="str">
        <f>Units</f>
        <v>US CUSTOMARY</v>
      </c>
      <c r="G6" s="76"/>
    </row>
    <row r="7" spans="1:7" ht="14.25" thickTop="1" thickBot="1" x14ac:dyDescent="0.25">
      <c r="A7" s="70"/>
      <c r="B7" s="70"/>
      <c r="C7" s="72"/>
      <c r="D7" s="73"/>
      <c r="E7" s="64"/>
      <c r="F7" s="63"/>
    </row>
    <row r="8" spans="1:7" ht="18.75" thickBot="1" x14ac:dyDescent="0.25">
      <c r="A8" s="208" t="s">
        <v>9</v>
      </c>
      <c r="B8" s="208"/>
      <c r="C8" s="208"/>
      <c r="D8" s="208"/>
      <c r="E8" s="208"/>
      <c r="F8" s="208"/>
      <c r="G8" s="84"/>
    </row>
    <row r="9" spans="1:7" ht="26.25" thickBot="1" x14ac:dyDescent="0.25">
      <c r="A9" s="94" t="s">
        <v>93</v>
      </c>
      <c r="B9" s="8" t="s">
        <v>10</v>
      </c>
      <c r="C9" s="95" t="str">
        <f>"Quantity"&amp;CHAR(10)&amp;IF(Units="US CUSTOMARY"," (Ton or SY)"," (tonnes or m2)")</f>
        <v>Quantity
 (Ton or SY)</v>
      </c>
      <c r="D9" s="9" t="s">
        <v>11</v>
      </c>
      <c r="E9" s="95" t="str">
        <f>"Q_"&amp;IF(Units="US CUSTOMARY","Ton","t")&amp;CHAR(10)&amp;"Unit Price"</f>
        <v>Q_Ton
Unit Price</v>
      </c>
      <c r="F9" s="9" t="s">
        <v>12</v>
      </c>
    </row>
    <row r="10" spans="1:7" ht="19.5" thickTop="1" thickBot="1" x14ac:dyDescent="0.25">
      <c r="A10" s="122">
        <f>IF(ISBLANK(Schedule1!A10),"",Schedule1!A10)</f>
        <v>301</v>
      </c>
      <c r="B10" s="56" t="str">
        <f>IF(ISBLANK(Schedule1!B10),"",Schedule1!B10)</f>
        <v>Untreated Aggregate Courses</v>
      </c>
      <c r="C10" s="78"/>
      <c r="D10" s="85"/>
      <c r="E10" s="87">
        <f t="shared" ref="E10:E16" si="0">ROUND(D10*Materials1,2)</f>
        <v>0</v>
      </c>
      <c r="F10" s="87">
        <f>C10*E10</f>
        <v>0</v>
      </c>
      <c r="G10" s="76"/>
    </row>
    <row r="11" spans="1:7" ht="19.5" thickTop="1" thickBot="1" x14ac:dyDescent="0.25">
      <c r="A11" s="122" t="str">
        <f>IF(ISBLANK(Schedule1!A11),"",Schedule1!A11)</f>
        <v>309</v>
      </c>
      <c r="B11" s="56" t="str">
        <f>IF(ISBLANK(Schedule1!B11),"",Schedule1!B11)</f>
        <v>Emulsified Asphalt-Treated Base Course</v>
      </c>
      <c r="C11" s="80"/>
      <c r="D11" s="88"/>
      <c r="E11" s="87">
        <f t="shared" si="0"/>
        <v>0</v>
      </c>
      <c r="F11" s="87">
        <f t="shared" ref="F11:F16" si="1">C11*E11</f>
        <v>0</v>
      </c>
      <c r="G11" s="76"/>
    </row>
    <row r="12" spans="1:7" ht="19.5" thickTop="1" thickBot="1" x14ac:dyDescent="0.25">
      <c r="A12" s="81">
        <f>IF(ISBLANK(Schedule1!A12),"",Schedule1!A12)</f>
        <v>311</v>
      </c>
      <c r="B12" s="56" t="str">
        <f>IF(ISBLANK(Schedule1!B12),"",Schedule1!B12)</f>
        <v>Stabilized Aggregate Surface Course</v>
      </c>
      <c r="C12" s="80"/>
      <c r="D12" s="88"/>
      <c r="E12" s="87">
        <f t="shared" si="0"/>
        <v>0</v>
      </c>
      <c r="F12" s="87">
        <f t="shared" si="1"/>
        <v>0</v>
      </c>
      <c r="G12" s="76"/>
    </row>
    <row r="13" spans="1:7" ht="19.5" thickTop="1" thickBot="1" x14ac:dyDescent="0.25">
      <c r="A13" s="122">
        <f>IF(ISBLANK(Schedule1!A13),"",Schedule1!A13)</f>
        <v>405</v>
      </c>
      <c r="B13" s="56" t="str">
        <f>IF(ISBLANK(Schedule1!B13),"",Schedule1!B13)</f>
        <v>Open-Graded Asphalt Friction Course</v>
      </c>
      <c r="C13" s="80"/>
      <c r="D13" s="88"/>
      <c r="E13" s="87">
        <f t="shared" si="0"/>
        <v>0</v>
      </c>
      <c r="F13" s="87">
        <f t="shared" si="1"/>
        <v>0</v>
      </c>
      <c r="G13" s="76"/>
    </row>
    <row r="14" spans="1:7" ht="19.5" thickTop="1" thickBot="1" x14ac:dyDescent="0.25">
      <c r="A14" s="122">
        <f>IF(ISBLANK(Schedule1!A14),"",Schedule1!A14)</f>
        <v>407</v>
      </c>
      <c r="B14" s="56" t="str">
        <f>IF(ISBLANK(Schedule1!B14),"",Schedule1!B14)</f>
        <v>Chip Seal</v>
      </c>
      <c r="C14" s="80"/>
      <c r="D14" s="88"/>
      <c r="E14" s="87">
        <f t="shared" si="0"/>
        <v>0</v>
      </c>
      <c r="F14" s="87">
        <f t="shared" si="1"/>
        <v>0</v>
      </c>
      <c r="G14" s="76"/>
    </row>
    <row r="15" spans="1:7" ht="19.5" thickTop="1" thickBot="1" x14ac:dyDescent="0.25">
      <c r="A15" s="123" t="str">
        <f>IF(ISBLANK(Schedule1!A15),"",Schedule1!A15)</f>
        <v>-</v>
      </c>
      <c r="B15" s="56" t="str">
        <f>IF(ISBLANK(Schedule1!B15),"",Schedule1!B15)</f>
        <v/>
      </c>
      <c r="C15" s="82"/>
      <c r="D15" s="89"/>
      <c r="E15" s="87">
        <f t="shared" si="0"/>
        <v>0</v>
      </c>
      <c r="F15" s="87">
        <f t="shared" si="1"/>
        <v>0</v>
      </c>
      <c r="G15" s="76"/>
    </row>
    <row r="16" spans="1:7" ht="18.75" thickTop="1" x14ac:dyDescent="0.2">
      <c r="A16" s="123" t="str">
        <f>IF(ISBLANK(Schedule1!A16),"",Schedule1!A16)</f>
        <v>-</v>
      </c>
      <c r="B16" s="56" t="str">
        <f>IF(ISBLANK(Schedule1!B16),"",Schedule1!B16)</f>
        <v/>
      </c>
      <c r="C16" s="82"/>
      <c r="D16" s="89"/>
      <c r="E16" s="87">
        <f t="shared" si="0"/>
        <v>0</v>
      </c>
      <c r="F16" s="87">
        <f t="shared" si="1"/>
        <v>0</v>
      </c>
      <c r="G16" s="76"/>
    </row>
    <row r="17" spans="1:7" ht="13.5" thickBot="1" x14ac:dyDescent="0.25">
      <c r="A17" s="122"/>
      <c r="B17" s="56"/>
      <c r="C17" s="83"/>
      <c r="D17" s="90"/>
      <c r="E17" s="87"/>
      <c r="F17" s="87"/>
    </row>
    <row r="18" spans="1:7" ht="18.75" thickBot="1" x14ac:dyDescent="0.25">
      <c r="A18" s="205" t="s">
        <v>13</v>
      </c>
      <c r="B18" s="205"/>
      <c r="C18" s="205"/>
      <c r="D18" s="205"/>
      <c r="E18" s="205"/>
      <c r="F18" s="205"/>
      <c r="G18" s="84"/>
    </row>
    <row r="19" spans="1:7" ht="26.25" thickBot="1" x14ac:dyDescent="0.25">
      <c r="A19" s="94" t="s">
        <v>93</v>
      </c>
      <c r="B19" s="8" t="s">
        <v>10</v>
      </c>
      <c r="C19" s="95" t="str">
        <f>"Quantity"&amp;CHAR(10)&amp;IF(Units="US CUSTOMARY"," (Ton or SY)"," (tonnes or m2)")</f>
        <v>Quantity
 (Ton or SY)</v>
      </c>
      <c r="D19" s="9" t="s">
        <v>11</v>
      </c>
      <c r="E19" s="95" t="str">
        <f>"Q_"&amp;IF(Units="US CUSTOMARY","Ton","t")&amp;CHAR(10)&amp;"Unit Price"</f>
        <v>Q_Ton
Unit Price</v>
      </c>
      <c r="F19" s="9" t="s">
        <v>12</v>
      </c>
    </row>
    <row r="20" spans="1:7" ht="19.5" thickTop="1" thickBot="1" x14ac:dyDescent="0.25">
      <c r="A20" s="122" t="str">
        <f>IF(ISBLANK(Schedule1!A20),"",Schedule1!A20)</f>
        <v>401</v>
      </c>
      <c r="B20" s="56" t="str">
        <f>IF(ISBLANK(Schedule1!B20),"",Schedule1!B20)</f>
        <v>ACP by Gyratory Mix Design</v>
      </c>
      <c r="C20" s="78"/>
      <c r="D20" s="85"/>
      <c r="E20" s="87">
        <f>ROUND(D20*Materials2,2)</f>
        <v>0</v>
      </c>
      <c r="F20" s="87">
        <f>C20*E20</f>
        <v>0</v>
      </c>
      <c r="G20" s="76"/>
    </row>
    <row r="21" spans="1:7" ht="19.5" thickTop="1" thickBot="1" x14ac:dyDescent="0.25">
      <c r="A21" s="122" t="str">
        <f>IF(ISBLANK(Schedule1!A21),"",Schedule1!A21)</f>
        <v>-</v>
      </c>
      <c r="B21" s="122" t="str">
        <f>IF(ISBLANK(Schedule1!B21),"",Schedule1!B21)</f>
        <v/>
      </c>
      <c r="C21" s="80"/>
      <c r="D21" s="88"/>
      <c r="E21" s="87">
        <f>ROUND(D21*Materials2,2)</f>
        <v>0</v>
      </c>
      <c r="F21" s="87">
        <f t="shared" ref="F21:F23" si="2">C21*E21</f>
        <v>0</v>
      </c>
      <c r="G21" s="76"/>
    </row>
    <row r="22" spans="1:7" ht="19.5" thickTop="1" thickBot="1" x14ac:dyDescent="0.25">
      <c r="A22" s="122" t="str">
        <f>IF(ISBLANK(Schedule1!A22),"",Schedule1!A22)</f>
        <v>-</v>
      </c>
      <c r="B22" s="56" t="str">
        <f>IF(ISBLANK(Schedule1!B22),"",Schedule1!B22)</f>
        <v/>
      </c>
      <c r="C22" s="80"/>
      <c r="D22" s="88"/>
      <c r="E22" s="87">
        <f>ROUND(D22*Materials2,2)</f>
        <v>0</v>
      </c>
      <c r="F22" s="87">
        <f t="shared" si="2"/>
        <v>0</v>
      </c>
      <c r="G22" s="76"/>
    </row>
    <row r="23" spans="1:7" ht="19.5" thickTop="1" thickBot="1" x14ac:dyDescent="0.25">
      <c r="A23" s="122" t="str">
        <f>IF(ISBLANK(Schedule1!A23),"",Schedule1!A23)</f>
        <v/>
      </c>
      <c r="B23" s="56" t="str">
        <f>IF(ISBLANK(Schedule1!B23),"",Schedule1!B23)</f>
        <v/>
      </c>
      <c r="C23" s="80"/>
      <c r="D23" s="88"/>
      <c r="E23" s="87">
        <f>ROUND(D23*Materials2,2)</f>
        <v>0</v>
      </c>
      <c r="F23" s="87">
        <f t="shared" si="2"/>
        <v>0</v>
      </c>
      <c r="G23" s="76"/>
    </row>
    <row r="24" spans="1:7" ht="15" customHeight="1" thickTop="1" thickBot="1" x14ac:dyDescent="0.25">
      <c r="A24" s="10"/>
      <c r="B24" s="11"/>
      <c r="C24" s="47"/>
      <c r="D24" s="48"/>
      <c r="E24" s="13"/>
      <c r="F24" s="13"/>
    </row>
    <row r="25" spans="1:7" ht="18.75" thickBot="1" x14ac:dyDescent="0.25">
      <c r="A25" s="205" t="s">
        <v>14</v>
      </c>
      <c r="B25" s="205"/>
      <c r="C25" s="205"/>
      <c r="D25" s="205"/>
      <c r="E25" s="205"/>
      <c r="F25" s="205"/>
      <c r="G25" s="84"/>
    </row>
    <row r="26" spans="1:7" ht="26.25" thickBot="1" x14ac:dyDescent="0.25">
      <c r="A26" s="94" t="s">
        <v>93</v>
      </c>
      <c r="B26" s="8" t="s">
        <v>10</v>
      </c>
      <c r="C26" s="95" t="str">
        <f>"Quantity"&amp;CHAR(10)&amp;IF(Units="US CUSTOMARY"," (Ton or SY)"," (tonnes or m2)")</f>
        <v>Quantity
 (Ton or SY)</v>
      </c>
      <c r="D26" s="9" t="s">
        <v>11</v>
      </c>
      <c r="E26" s="95" t="str">
        <f>"Q_"&amp;IF(Units="US CUSTOMARY","Ton","t")&amp;CHAR(10)&amp;"Unit Price"</f>
        <v>Q_Ton
Unit Price</v>
      </c>
      <c r="F26" s="9" t="s">
        <v>12</v>
      </c>
    </row>
    <row r="27" spans="1:7" ht="19.5" thickTop="1" thickBot="1" x14ac:dyDescent="0.25">
      <c r="A27" s="122" t="str">
        <f>IF(ISBLANK(Schedule1!A27),"",Schedule1!A27)</f>
        <v xml:space="preserve"> -</v>
      </c>
      <c r="B27" s="56" t="str">
        <f>IF(ISBLANK(Schedule1!B27),"",Schedule1!B27)</f>
        <v xml:space="preserve">                      -</v>
      </c>
      <c r="C27" s="78"/>
      <c r="D27" s="85"/>
      <c r="E27" s="87">
        <f>ROUND(D27*Materials3,2)</f>
        <v>0</v>
      </c>
      <c r="F27" s="87">
        <f>C27*E27</f>
        <v>0</v>
      </c>
      <c r="G27" s="76"/>
    </row>
    <row r="28" spans="1:7" ht="19.5" thickTop="1" thickBot="1" x14ac:dyDescent="0.25">
      <c r="A28" s="122" t="str">
        <f>IF(ISBLANK(Schedule1!A28),"",Schedule1!A28)</f>
        <v>-</v>
      </c>
      <c r="B28" s="56" t="str">
        <f>IF(ISBLANK(Schedule1!B28),"",Schedule1!B28)</f>
        <v/>
      </c>
      <c r="C28" s="80"/>
      <c r="D28" s="88"/>
      <c r="E28" s="87">
        <f>ROUND(D28*Materials3,2)</f>
        <v>0</v>
      </c>
      <c r="F28" s="87">
        <f>C28*E28</f>
        <v>0</v>
      </c>
      <c r="G28" s="76"/>
    </row>
    <row r="29" spans="1:7" ht="19.5" thickTop="1" thickBot="1" x14ac:dyDescent="0.25">
      <c r="A29" s="122" t="str">
        <f>IF(ISBLANK(Schedule1!A29),"",Schedule1!A29)</f>
        <v>-</v>
      </c>
      <c r="B29" s="56" t="str">
        <f>IF(ISBLANK(Schedule1!B29),"",Schedule1!B29)</f>
        <v/>
      </c>
      <c r="C29" s="80"/>
      <c r="D29" s="88"/>
      <c r="E29" s="87">
        <f>ROUND(D29*Materials3,2)</f>
        <v>0</v>
      </c>
      <c r="F29" s="87">
        <f>C29*E29</f>
        <v>0</v>
      </c>
      <c r="G29" s="76"/>
    </row>
    <row r="30" spans="1:7" ht="13.5" thickTop="1" x14ac:dyDescent="0.2">
      <c r="A30" s="10"/>
      <c r="B30" s="11"/>
      <c r="C30" s="12"/>
      <c r="D30" s="14"/>
      <c r="E30" s="13"/>
      <c r="F30" s="13"/>
    </row>
    <row r="31" spans="1:7" x14ac:dyDescent="0.2">
      <c r="A31" s="2"/>
      <c r="B31" s="2"/>
      <c r="C31" s="3"/>
      <c r="D31" s="4"/>
      <c r="E31" s="4"/>
      <c r="F31" s="4"/>
    </row>
    <row r="32" spans="1:7" x14ac:dyDescent="0.2">
      <c r="A32" s="211" t="s">
        <v>95</v>
      </c>
      <c r="B32" s="211"/>
      <c r="C32" s="211"/>
      <c r="D32" s="211"/>
      <c r="E32" s="211"/>
      <c r="F32" s="109">
        <f>SUM(F10:F16,F20:F23,F27:F29)</f>
        <v>0</v>
      </c>
    </row>
    <row r="33" spans="1:7" ht="13.5" thickBot="1" x14ac:dyDescent="0.25">
      <c r="A33" s="15"/>
      <c r="B33" s="15"/>
      <c r="C33" s="15"/>
      <c r="D33" s="15"/>
      <c r="E33" s="15"/>
      <c r="F33" s="16"/>
    </row>
    <row r="34" spans="1:7" ht="18.75" thickBot="1" x14ac:dyDescent="0.25">
      <c r="A34" s="210" t="s">
        <v>15</v>
      </c>
      <c r="B34" s="210"/>
      <c r="C34" s="210"/>
      <c r="D34" s="210"/>
      <c r="E34" s="210"/>
      <c r="F34" s="210"/>
    </row>
    <row r="35" spans="1:7" ht="26.25" thickBot="1" x14ac:dyDescent="0.25">
      <c r="A35" s="94" t="s">
        <v>93</v>
      </c>
      <c r="B35" s="8" t="s">
        <v>10</v>
      </c>
      <c r="C35" s="97" t="str">
        <f>"Project"&amp;CHAR(10)&amp;"Lane-"&amp;IF(Units="US CUSTOMARY","miles","kilometers")</f>
        <v>Project
Lane-miles</v>
      </c>
      <c r="D35" s="9"/>
      <c r="E35" s="9"/>
      <c r="F35" s="9" t="s">
        <v>12</v>
      </c>
    </row>
    <row r="36" spans="1:7" ht="19.5" thickTop="1" thickBot="1" x14ac:dyDescent="0.25">
      <c r="A36" s="122">
        <f>IF(ISBLANK(Schedule1!A36),"",Schedule1!A36)</f>
        <v>401</v>
      </c>
      <c r="B36" s="70" t="str">
        <f>IF(ISBLANK(Schedule1!B36),"",Schedule1!B36)</f>
        <v>ACP by Gyratory Mix Design</v>
      </c>
      <c r="C36" s="78"/>
      <c r="D36" s="79"/>
      <c r="E36" s="79"/>
      <c r="F36" s="87">
        <f>C36*IF(Units="US CUSTOMARY",100000,62200)*Rough</f>
        <v>0</v>
      </c>
      <c r="G36" s="76"/>
    </row>
    <row r="37" spans="1:7" ht="19.5" thickTop="1" thickBot="1" x14ac:dyDescent="0.25">
      <c r="A37" s="122" t="str">
        <f>IF(ISBLANK(Schedule1!A37),"",Schedule1!A37)</f>
        <v>-</v>
      </c>
      <c r="B37" s="70" t="str">
        <f>IF(ISBLANK(Schedule1!B37),"",Schedule1!B37)</f>
        <v/>
      </c>
      <c r="C37" s="80"/>
      <c r="D37" s="79"/>
      <c r="E37" s="79"/>
      <c r="F37" s="87">
        <f>C37*IF(Units="US CUSTOMARY",100000,62200)*Rough</f>
        <v>0</v>
      </c>
      <c r="G37" s="76"/>
    </row>
    <row r="38" spans="1:7" ht="19.5" thickTop="1" thickBot="1" x14ac:dyDescent="0.25">
      <c r="A38" s="122" t="str">
        <f>IF(ISBLANK(Schedule1!A38),"",Schedule1!A38)</f>
        <v>-</v>
      </c>
      <c r="B38" s="122" t="str">
        <f>IF(ISBLANK(Schedule1!B38),"",Schedule1!B38)</f>
        <v/>
      </c>
      <c r="C38" s="80"/>
      <c r="D38" s="79"/>
      <c r="E38" s="79"/>
      <c r="F38" s="87">
        <f>C38*IF(Units="US CUSTOMARY",100000,62200)*Rough</f>
        <v>0</v>
      </c>
      <c r="G38" s="76"/>
    </row>
    <row r="39" spans="1:7" ht="13.5" thickTop="1" x14ac:dyDescent="0.2">
      <c r="A39" s="10"/>
      <c r="B39" s="2"/>
      <c r="C39" s="17"/>
      <c r="D39" s="13"/>
      <c r="E39" s="13"/>
      <c r="F39" s="13"/>
    </row>
    <row r="40" spans="1:7" x14ac:dyDescent="0.2">
      <c r="A40" s="2"/>
      <c r="B40" s="2"/>
      <c r="C40" s="3"/>
      <c r="D40" s="4"/>
      <c r="E40" s="4"/>
      <c r="F40" s="4"/>
    </row>
    <row r="41" spans="1:7" x14ac:dyDescent="0.2">
      <c r="A41" s="211" t="s">
        <v>96</v>
      </c>
      <c r="B41" s="211"/>
      <c r="C41" s="211"/>
      <c r="D41" s="211"/>
      <c r="E41" s="211"/>
      <c r="F41" s="109">
        <f>SUM(F36:F38)</f>
        <v>0</v>
      </c>
    </row>
    <row r="42" spans="1:7" x14ac:dyDescent="0.15">
      <c r="A42" s="2"/>
      <c r="B42" s="2"/>
      <c r="C42" s="3"/>
      <c r="D42" s="4"/>
      <c r="E42" s="18"/>
      <c r="F42" s="19"/>
    </row>
    <row r="43" spans="1:7" ht="22.5" x14ac:dyDescent="0.15">
      <c r="A43" s="91" t="str">
        <f>IF(ISBLANK(Schedule1!A43),"",Schedule1!A43)</f>
        <v xml:space="preserve">Note 1: </v>
      </c>
      <c r="B43" s="92" t="str">
        <f>IF(ISBLANK(Schedule1!B43),"",Schedule1!B43)</f>
        <v>Q_t Unit Price = (Unit Price x 0.05)
Incentive Amt = (Quantity x Q_t Unit Price)</v>
      </c>
      <c r="C43" s="3"/>
      <c r="D43" s="4"/>
      <c r="E43" s="18"/>
      <c r="F43" s="19"/>
    </row>
    <row r="44" spans="1:7" x14ac:dyDescent="0.15">
      <c r="A44" s="22" t="str">
        <f>IF(ISBLANK(Schedule1!A44),"",Schedule1!A44)</f>
        <v/>
      </c>
      <c r="B44" s="22" t="str">
        <f>IF(ISBLANK(Schedule1!B44),"",Schedule1!B44)</f>
        <v/>
      </c>
      <c r="C44" s="3"/>
      <c r="D44" s="4"/>
      <c r="E44" s="18"/>
      <c r="F44" s="19"/>
    </row>
    <row r="45" spans="1:7" ht="22.5" x14ac:dyDescent="0.2">
      <c r="A45" s="91" t="str">
        <f>IF(ISBLANK(Schedule1!A45),"",Schedule1!A45)</f>
        <v xml:space="preserve">Note 2: </v>
      </c>
      <c r="B45" s="92" t="str">
        <f>IF(ISBLANK(Schedule1!B45),"",Schedule1!B45)</f>
        <v>Q_t Unit Price = (Unit Price x 0.06)
Incentive Amt = (Quantity x Q_t Unit Price)</v>
      </c>
      <c r="C45" s="3"/>
      <c r="D45" s="4"/>
      <c r="E45" s="4"/>
      <c r="F45" s="4"/>
    </row>
    <row r="46" spans="1:7" x14ac:dyDescent="0.2">
      <c r="A46" s="2" t="str">
        <f>IF(ISBLANK(Schedule1!A46),"",Schedule1!A46)</f>
        <v/>
      </c>
      <c r="B46" s="2" t="str">
        <f>IF(ISBLANK(Schedule1!B46),"",Schedule1!B46)</f>
        <v/>
      </c>
      <c r="C46" s="3"/>
      <c r="D46" s="4"/>
      <c r="E46" s="4"/>
      <c r="F46" s="4"/>
    </row>
    <row r="47" spans="1:7" ht="22.5" x14ac:dyDescent="0.2">
      <c r="A47" s="91" t="str">
        <f>IF(ISBLANK(Schedule1!A47),"",Schedule1!A47)</f>
        <v xml:space="preserve">Note 3: </v>
      </c>
      <c r="B47" s="92" t="str">
        <f>IF(ISBLANK(Schedule1!B47),"",Schedule1!B47)</f>
        <v>Q_t Unit Price = (Unit Price x 0.01)
Incentive Amt = (Quantity x Q_t Unit Price)</v>
      </c>
      <c r="C47" s="3"/>
      <c r="D47" s="4"/>
      <c r="E47" s="4"/>
      <c r="F47" s="4"/>
    </row>
    <row r="48" spans="1:7" x14ac:dyDescent="0.2">
      <c r="A48" s="22" t="str">
        <f>IF(ISBLANK(Schedule1!A48),"",Schedule1!A48)</f>
        <v/>
      </c>
      <c r="B48" s="22" t="str">
        <f>IF(ISBLANK(Schedule1!B48),"",Schedule1!B48)</f>
        <v/>
      </c>
      <c r="C48" s="3"/>
      <c r="D48" s="4"/>
      <c r="E48" s="4"/>
      <c r="F48" s="4"/>
    </row>
    <row r="49" spans="1:7" x14ac:dyDescent="0.2">
      <c r="A49" s="93" t="str">
        <f>IF(ISBLANK(Schedule1!A49),"",Schedule1!A49)</f>
        <v xml:space="preserve">Note 4: </v>
      </c>
      <c r="B49" s="153" t="str">
        <f>IF(ISBLANK(Schedule1!B49),"",Schedule1!B49)</f>
        <v>Incentive Amt = (Lane-miles x 100,000 x 0.05)</v>
      </c>
      <c r="C49" s="3"/>
      <c r="D49" s="4"/>
      <c r="E49" s="4"/>
      <c r="F49" s="4"/>
      <c r="G49" s="84"/>
    </row>
    <row r="50" spans="1:7" x14ac:dyDescent="0.2">
      <c r="A50" s="2"/>
      <c r="B50" s="2"/>
      <c r="C50" s="3"/>
      <c r="D50" s="4"/>
      <c r="E50" s="4"/>
      <c r="F50" s="4"/>
    </row>
    <row r="51" spans="1:7" x14ac:dyDescent="0.2">
      <c r="A51" s="2"/>
      <c r="B51" s="2"/>
      <c r="C51" s="3"/>
      <c r="D51" s="4"/>
      <c r="E51" s="4"/>
      <c r="F51" s="4"/>
    </row>
    <row r="52" spans="1:7" ht="18" customHeight="1" thickBot="1" x14ac:dyDescent="0.3">
      <c r="A52" s="200" t="s">
        <v>78</v>
      </c>
      <c r="B52" s="200"/>
      <c r="C52" s="200"/>
      <c r="D52" s="200"/>
      <c r="E52" s="200"/>
      <c r="F52" s="200"/>
    </row>
    <row r="53" spans="1:7" ht="14.25" thickTop="1" thickBot="1" x14ac:dyDescent="0.25">
      <c r="A53" s="70"/>
      <c r="B53" s="96" t="s">
        <v>94</v>
      </c>
      <c r="C53" s="98" t="str">
        <f>FP</f>
        <v>FP-14</v>
      </c>
      <c r="D53" s="73"/>
      <c r="E53" s="73"/>
      <c r="F53" s="73"/>
    </row>
    <row r="54" spans="1:7" ht="19.5" thickTop="1" thickBot="1" x14ac:dyDescent="0.25">
      <c r="A54" s="70"/>
      <c r="B54" s="70"/>
      <c r="C54" s="74"/>
      <c r="D54" s="73"/>
      <c r="E54" s="64" t="s">
        <v>1</v>
      </c>
      <c r="F54" s="65">
        <f ca="1">Date</f>
        <v>45469</v>
      </c>
      <c r="G54" s="76"/>
    </row>
    <row r="55" spans="1:7" ht="19.5" thickTop="1" thickBot="1" x14ac:dyDescent="0.25">
      <c r="A55" s="61" t="s">
        <v>0</v>
      </c>
      <c r="B55" s="120" t="str">
        <f>ProjNum</f>
        <v>WA WFL Test(1)</v>
      </c>
      <c r="C55" s="99"/>
      <c r="D55" s="100"/>
      <c r="E55" s="66" t="s">
        <v>3</v>
      </c>
      <c r="F55" s="98" t="str">
        <f>SchedType</f>
        <v>Option</v>
      </c>
      <c r="G55" s="76"/>
    </row>
    <row r="56" spans="1:7" ht="19.5" thickTop="1" thickBot="1" x14ac:dyDescent="0.25">
      <c r="A56" s="61" t="s">
        <v>2</v>
      </c>
      <c r="B56" s="201" t="str">
        <f>ProjName</f>
        <v>Wafflehead Park Road</v>
      </c>
      <c r="C56" s="201"/>
      <c r="D56" s="201"/>
      <c r="E56" s="66" t="s">
        <v>5</v>
      </c>
      <c r="F56" s="98" t="str">
        <f>SchedLet</f>
        <v>Y</v>
      </c>
      <c r="G56" s="76"/>
    </row>
    <row r="57" spans="1:7" ht="19.5" thickTop="1" thickBot="1" x14ac:dyDescent="0.25">
      <c r="A57" s="61"/>
      <c r="B57" s="75"/>
      <c r="C57" s="75"/>
      <c r="D57" s="75"/>
      <c r="E57" s="64" t="s">
        <v>7</v>
      </c>
      <c r="F57" s="98" t="str">
        <f>Units</f>
        <v>US CUSTOMARY</v>
      </c>
      <c r="G57" s="76"/>
    </row>
    <row r="58" spans="1:7" ht="14.25" thickTop="1" thickBot="1" x14ac:dyDescent="0.25">
      <c r="A58" s="2"/>
      <c r="B58" s="2"/>
      <c r="C58" s="3"/>
      <c r="D58" s="4"/>
      <c r="E58" s="6"/>
      <c r="F58" s="5"/>
    </row>
    <row r="59" spans="1:7" ht="18.75" thickBot="1" x14ac:dyDescent="0.25">
      <c r="A59" s="41" t="s">
        <v>20</v>
      </c>
      <c r="B59" s="42"/>
      <c r="C59" s="42"/>
      <c r="D59" s="42"/>
      <c r="E59" s="42"/>
      <c r="F59" s="43"/>
      <c r="G59" s="76"/>
    </row>
    <row r="60" spans="1:7" x14ac:dyDescent="0.2">
      <c r="A60" s="7"/>
      <c r="B60" s="23"/>
      <c r="C60" s="24"/>
      <c r="D60" s="24"/>
      <c r="E60" s="24"/>
      <c r="F60" s="24"/>
    </row>
    <row r="61" spans="1:7" x14ac:dyDescent="0.2">
      <c r="A61" s="135" t="str">
        <f>IF(ISBLANK(Schedule1!A61),"",Schedule1!A61)</f>
        <v>Section 204 –</v>
      </c>
      <c r="B61" s="136" t="str">
        <f>IF(ISBLANK(Schedule1!B61),"",Schedule1!B61)</f>
        <v>Excavation and Embankment</v>
      </c>
      <c r="C61" s="137" t="s">
        <v>21</v>
      </c>
      <c r="D61" s="138" t="str">
        <f>IF(Units="US CUSTOMARY"," CUYD"," m3")</f>
        <v xml:space="preserve"> CUYD</v>
      </c>
      <c r="E61" s="139" t="s">
        <v>22</v>
      </c>
      <c r="F61" s="24"/>
    </row>
    <row r="62" spans="1:7" x14ac:dyDescent="0.2">
      <c r="A62" s="130">
        <f>IF(ISBLANK(Schedule1!A62),"",Schedule1!A62)</f>
        <v>20401</v>
      </c>
      <c r="B62" s="131" t="str">
        <f>IF(ISBLANK(Schedule1!B62),"",Schedule1!B62)</f>
        <v>Roadway exacation</v>
      </c>
      <c r="C62" s="209">
        <f>Fuel204a</f>
        <v>0.3</v>
      </c>
      <c r="D62" s="196"/>
      <c r="E62" s="129" t="str">
        <f>IF(ISNUMBER(D62),+C$62*D62, "-")</f>
        <v>-</v>
      </c>
      <c r="F62" s="13"/>
    </row>
    <row r="63" spans="1:7" x14ac:dyDescent="0.2">
      <c r="A63" s="130">
        <f>IF(ISBLANK(Schedule1!A63),"",Schedule1!A63)</f>
        <v>20402</v>
      </c>
      <c r="B63" s="131" t="str">
        <f>IF(ISBLANK(Schedule1!B63),"",Schedule1!B63)</f>
        <v>Subexacation</v>
      </c>
      <c r="C63" s="209"/>
      <c r="D63" s="196"/>
      <c r="E63" s="129" t="str">
        <f>IF(ISNUMBER(D63),+C$62*D63, "-")</f>
        <v>-</v>
      </c>
      <c r="F63" s="13"/>
    </row>
    <row r="64" spans="1:7" x14ac:dyDescent="0.2">
      <c r="A64" s="130">
        <f>IF(ISBLANK(Schedule1!A64),"",Schedule1!A64)</f>
        <v>20403</v>
      </c>
      <c r="B64" s="131" t="str">
        <f>IF(ISBLANK(Schedule1!B64),"",Schedule1!B64)</f>
        <v>Unclassified borrow</v>
      </c>
      <c r="C64" s="209"/>
      <c r="D64" s="196"/>
      <c r="E64" s="129" t="str">
        <f>IF(ISNUMBER(D64),+C$62*D64, "-")</f>
        <v>-</v>
      </c>
      <c r="F64" s="13"/>
    </row>
    <row r="65" spans="1:6" x14ac:dyDescent="0.2">
      <c r="A65" s="130">
        <f>IF(ISBLANK(Schedule1!A65),"",Schedule1!A65)</f>
        <v>20420</v>
      </c>
      <c r="B65" s="131" t="str">
        <f>IF(ISBLANK(Schedule1!B65),"",Schedule1!B65)</f>
        <v>Embankment construction</v>
      </c>
      <c r="C65" s="209"/>
      <c r="D65" s="196"/>
      <c r="E65" s="129" t="str">
        <f>IF(ISNUMBER(D65),+C$62*D65, "-")</f>
        <v>-</v>
      </c>
      <c r="F65" s="13"/>
    </row>
    <row r="66" spans="1:6" x14ac:dyDescent="0.2">
      <c r="A66" s="130">
        <f>IF(ISBLANK(Schedule1!A66),"",Schedule1!A66)</f>
        <v>20421</v>
      </c>
      <c r="B66" s="131" t="str">
        <f>IF(ISBLANK(Schedule1!B66),"",Schedule1!B66)</f>
        <v>Rock excavation</v>
      </c>
      <c r="C66" s="209"/>
      <c r="D66" s="196"/>
      <c r="E66" s="129" t="str">
        <f>IF(ISNUMBER(D66),+C$62*D66, "-")</f>
        <v>-</v>
      </c>
      <c r="F66" s="13"/>
    </row>
    <row r="67" spans="1:6" x14ac:dyDescent="0.2">
      <c r="A67" s="135" t="str">
        <f>IF(ISBLANK(Schedule1!A67),"",Schedule1!A67)</f>
        <v>Section 204 –</v>
      </c>
      <c r="B67" s="136" t="str">
        <f>IF(ISBLANK(Schedule1!B67),"",Schedule1!B67)</f>
        <v>Excavation and Embankment</v>
      </c>
      <c r="C67" s="137" t="s">
        <v>21</v>
      </c>
      <c r="D67" s="138" t="str">
        <f>IF(Units="US CUSTOMARY"," Tons"," tonnes")</f>
        <v xml:space="preserve"> Tons</v>
      </c>
      <c r="E67" s="139" t="s">
        <v>22</v>
      </c>
      <c r="F67" s="24"/>
    </row>
    <row r="68" spans="1:6" x14ac:dyDescent="0.2">
      <c r="A68" s="130">
        <f>IF(ISBLANK(Schedule1!A68),"",Schedule1!A68)</f>
        <v>20410</v>
      </c>
      <c r="B68" s="131" t="str">
        <f>IF(ISBLANK(Schedule1!B68),"",Schedule1!B68)</f>
        <v>Select borrow*</v>
      </c>
      <c r="C68" s="209">
        <f>Fuel204b</f>
        <v>0.7</v>
      </c>
      <c r="D68" s="196"/>
      <c r="E68" s="129" t="str">
        <f>IF(ISNUMBER(D68),+C$68*D68, "-")</f>
        <v>-</v>
      </c>
      <c r="F68" s="13"/>
    </row>
    <row r="69" spans="1:6" x14ac:dyDescent="0.2">
      <c r="A69" s="130">
        <f>IF(ISBLANK(Schedule1!A69),"",Schedule1!A69)</f>
        <v>20411</v>
      </c>
      <c r="B69" s="131" t="str">
        <f>IF(ISBLANK(Schedule1!B69),"",Schedule1!B69)</f>
        <v>Select borrow</v>
      </c>
      <c r="C69" s="209"/>
      <c r="D69" s="196"/>
      <c r="E69" s="129" t="str">
        <f>IF(ISNUMBER(D69),+C$68*D69, "-")</f>
        <v>-</v>
      </c>
      <c r="F69" s="13"/>
    </row>
    <row r="70" spans="1:6" x14ac:dyDescent="0.2">
      <c r="A70" s="130" t="str">
        <f>IF(ISBLANK(Schedule1!A70),"",Schedule1!A70)</f>
        <v xml:space="preserve"> 20415</v>
      </c>
      <c r="B70" s="131" t="str">
        <f>IF(ISBLANK(Schedule1!B70),"",Schedule1!B70)</f>
        <v>Select topping*</v>
      </c>
      <c r="C70" s="209"/>
      <c r="D70" s="196"/>
      <c r="E70" s="129" t="str">
        <f>IF(ISNUMBER(D70),+C$68*D70, "-")</f>
        <v>-</v>
      </c>
      <c r="F70" s="13"/>
    </row>
    <row r="71" spans="1:6" x14ac:dyDescent="0.2">
      <c r="A71" s="130" t="str">
        <f>IF(ISBLANK(Schedule1!A71),"",Schedule1!A71)</f>
        <v xml:space="preserve"> 20416</v>
      </c>
      <c r="B71" s="131" t="str">
        <f>IF(ISBLANK(Schedule1!B71),"",Schedule1!B71)</f>
        <v>Select topping</v>
      </c>
      <c r="C71" s="209"/>
      <c r="D71" s="196"/>
      <c r="E71" s="129" t="str">
        <f>IF(ISNUMBER(D71),+C$68*D71, "-")</f>
        <v>-</v>
      </c>
      <c r="F71" s="13"/>
    </row>
    <row r="72" spans="1:6" x14ac:dyDescent="0.2">
      <c r="A72" s="135" t="str">
        <f>IF(ISBLANK(Schedule1!A72),"",Schedule1!A72)</f>
        <v>Section 301 –</v>
      </c>
      <c r="B72" s="136" t="str">
        <f>IF(ISBLANK(Schedule1!B72),"",Schedule1!B72)</f>
        <v>Untreated Aggregate Courses</v>
      </c>
      <c r="C72" s="137" t="s">
        <v>21</v>
      </c>
      <c r="D72" s="138" t="str">
        <f>IF(Units="US CUSTOMARY"," Tons"," tonnes")</f>
        <v xml:space="preserve"> Tons</v>
      </c>
      <c r="E72" s="139" t="s">
        <v>22</v>
      </c>
      <c r="F72" s="13"/>
    </row>
    <row r="73" spans="1:6" x14ac:dyDescent="0.2">
      <c r="A73" s="130">
        <f>IF(ISBLANK(Schedule1!A73),"",Schedule1!A73)</f>
        <v>30101</v>
      </c>
      <c r="B73" s="131" t="str">
        <f>IF(ISBLANK(Schedule1!B73),"",Schedule1!B73)</f>
        <v>Aggregate base</v>
      </c>
      <c r="C73" s="209">
        <f>Fuel301</f>
        <v>0.7</v>
      </c>
      <c r="D73" s="196"/>
      <c r="E73" s="129" t="str">
        <f t="shared" ref="E73:E80" si="3">IF(ISNUMBER(D73),+C$73*D73, "-")</f>
        <v>-</v>
      </c>
      <c r="F73" s="13"/>
    </row>
    <row r="74" spans="1:6" x14ac:dyDescent="0.2">
      <c r="A74" s="130">
        <f>IF(ISBLANK(Schedule1!A74),"",Schedule1!A74)</f>
        <v>30102</v>
      </c>
      <c r="B74" s="131" t="str">
        <f>IF(ISBLANK(Schedule1!B74),"",Schedule1!B74)</f>
        <v>Aggregate base*</v>
      </c>
      <c r="C74" s="209"/>
      <c r="D74" s="196"/>
      <c r="E74" s="129" t="str">
        <f t="shared" si="3"/>
        <v>-</v>
      </c>
      <c r="F74" s="13"/>
    </row>
    <row r="75" spans="1:6" x14ac:dyDescent="0.2">
      <c r="A75" s="130">
        <f>IF(ISBLANK(Schedule1!A75),"",Schedule1!A75)</f>
        <v>30103</v>
      </c>
      <c r="B75" s="131" t="str">
        <f>IF(ISBLANK(Schedule1!B75),"",Schedule1!B75)</f>
        <v>Aggregate base*</v>
      </c>
      <c r="C75" s="209"/>
      <c r="D75" s="196"/>
      <c r="E75" s="129" t="str">
        <f t="shared" si="3"/>
        <v>-</v>
      </c>
      <c r="F75" s="13"/>
    </row>
    <row r="76" spans="1:6" x14ac:dyDescent="0.2">
      <c r="A76" s="130">
        <f>IF(ISBLANK(Schedule1!A76),"",Schedule1!A76)</f>
        <v>30105</v>
      </c>
      <c r="B76" s="131" t="str">
        <f>IF(ISBLANK(Schedule1!B76),"",Schedule1!B76)</f>
        <v>Subbase</v>
      </c>
      <c r="C76" s="209"/>
      <c r="D76" s="196"/>
      <c r="E76" s="129" t="str">
        <f t="shared" si="3"/>
        <v>-</v>
      </c>
      <c r="F76" s="13"/>
    </row>
    <row r="77" spans="1:6" x14ac:dyDescent="0.2">
      <c r="A77" s="130">
        <f>IF(ISBLANK(Schedule1!A77),"",Schedule1!A77)</f>
        <v>30106</v>
      </c>
      <c r="B77" s="131" t="str">
        <f>IF(ISBLANK(Schedule1!B77),"",Schedule1!B77)</f>
        <v>Subbase*</v>
      </c>
      <c r="C77" s="209"/>
      <c r="D77" s="196"/>
      <c r="E77" s="129" t="str">
        <f t="shared" si="3"/>
        <v>-</v>
      </c>
      <c r="F77" s="13"/>
    </row>
    <row r="78" spans="1:6" x14ac:dyDescent="0.2">
      <c r="A78" s="130">
        <f>IF(ISBLANK(Schedule1!A78),"",Schedule1!A78)</f>
        <v>30107</v>
      </c>
      <c r="B78" s="131" t="str">
        <f>IF(ISBLANK(Schedule1!B78),"",Schedule1!B78)</f>
        <v>Subbase*</v>
      </c>
      <c r="C78" s="209"/>
      <c r="D78" s="196"/>
      <c r="E78" s="129" t="str">
        <f t="shared" si="3"/>
        <v>-</v>
      </c>
      <c r="F78" s="13"/>
    </row>
    <row r="79" spans="1:6" x14ac:dyDescent="0.2">
      <c r="A79" s="130">
        <f>IF(ISBLANK(Schedule1!A79),"",Schedule1!A79)</f>
        <v>30110</v>
      </c>
      <c r="B79" s="131" t="str">
        <f>IF(ISBLANK(Schedule1!B79),"",Schedule1!B79)</f>
        <v>Aggregate surface course</v>
      </c>
      <c r="C79" s="209"/>
      <c r="D79" s="196"/>
      <c r="E79" s="129" t="str">
        <f t="shared" si="3"/>
        <v>-</v>
      </c>
      <c r="F79" s="13"/>
    </row>
    <row r="80" spans="1:6" x14ac:dyDescent="0.2">
      <c r="A80" s="130">
        <f>IF(ISBLANK(Schedule1!A80),"",Schedule1!A80)</f>
        <v>30111</v>
      </c>
      <c r="B80" s="131" t="str">
        <f>IF(ISBLANK(Schedule1!B80),"",Schedule1!B80)</f>
        <v>Aggregate surface course*</v>
      </c>
      <c r="C80" s="209"/>
      <c r="D80" s="196"/>
      <c r="E80" s="129" t="str">
        <f t="shared" si="3"/>
        <v>-</v>
      </c>
      <c r="F80" s="13"/>
    </row>
    <row r="81" spans="1:6" x14ac:dyDescent="0.2">
      <c r="A81" s="125" t="str">
        <f>IF(ISBLANK(Schedule1!A81),"",Schedule1!A81)</f>
        <v>Section 302 –</v>
      </c>
      <c r="B81" s="140" t="str">
        <f>IF(ISBLANK(Schedule1!B81),"",Schedule1!B81)</f>
        <v>Minor Aggregate</v>
      </c>
      <c r="C81" s="107" t="s">
        <v>21</v>
      </c>
      <c r="D81" s="141" t="str">
        <f>IF(Units="US CUSTOMARY"," Tons"," tonnes")</f>
        <v xml:space="preserve"> Tons</v>
      </c>
      <c r="E81" s="142" t="s">
        <v>22</v>
      </c>
      <c r="F81" s="13"/>
    </row>
    <row r="82" spans="1:6" x14ac:dyDescent="0.2">
      <c r="A82" s="132">
        <f>IF(ISBLANK(Schedule1!A82),"",Schedule1!A82)</f>
        <v>30201</v>
      </c>
      <c r="B82" s="104" t="str">
        <f>IF(ISBLANK(Schedule1!B82),"",Schedule1!B82)</f>
        <v>Roadway Aggregate</v>
      </c>
      <c r="C82" s="202">
        <f>Fuel302</f>
        <v>0.7</v>
      </c>
      <c r="D82" s="32"/>
      <c r="E82" s="108" t="str">
        <f>IF(ISNUMBER(D82),+C$82*D82, "-")</f>
        <v>-</v>
      </c>
      <c r="F82" s="13"/>
    </row>
    <row r="83" spans="1:6" x14ac:dyDescent="0.2">
      <c r="A83" s="132">
        <f>IF(ISBLANK(Schedule1!A83),"",Schedule1!A83)</f>
        <v>30202</v>
      </c>
      <c r="B83" s="104" t="str">
        <f>IF(ISBLANK(Schedule1!B83),"",Schedule1!B83)</f>
        <v>Roadway Aggregate*</v>
      </c>
      <c r="C83" s="202"/>
      <c r="D83" s="32"/>
      <c r="E83" s="108" t="str">
        <f>IF(ISNUMBER(D83),+C$82*D83, "-")</f>
        <v>-</v>
      </c>
      <c r="F83" s="13"/>
    </row>
    <row r="84" spans="1:6" x14ac:dyDescent="0.2">
      <c r="A84" s="134" t="str">
        <f>IF(ISBLANK(Schedule1!A84),"",Schedule1!A84)</f>
        <v>Section 308 –</v>
      </c>
      <c r="B84" s="140" t="str">
        <f>IF(ISBLANK(Schedule1!B84),"",Schedule1!B84)</f>
        <v>Recycled Aggregate Base</v>
      </c>
      <c r="C84" s="107" t="s">
        <v>21</v>
      </c>
      <c r="D84" s="143" t="str">
        <f>IF(Units="US CUSTOMARY"," SQYD","m2")</f>
        <v xml:space="preserve"> SQYD</v>
      </c>
      <c r="E84" s="144" t="s">
        <v>22</v>
      </c>
      <c r="F84" s="13"/>
    </row>
    <row r="85" spans="1:6" x14ac:dyDescent="0.2">
      <c r="A85" s="133" t="str">
        <f>IF(ISBLANK(Schedule1!A85),"",Schedule1!A85)</f>
        <v>30801</v>
      </c>
      <c r="B85" s="104" t="str">
        <f>IF(ISBLANK(Schedule1!B85),"",Schedule1!B85)</f>
        <v>Recycled aggregate base</v>
      </c>
      <c r="C85" s="204">
        <f>Fuel308</f>
        <v>0.1</v>
      </c>
      <c r="D85" s="34"/>
      <c r="E85" s="108" t="str">
        <f>IF(ISNUMBER(D85),+C$85*D85, "-")</f>
        <v>-</v>
      </c>
      <c r="F85" s="13"/>
    </row>
    <row r="86" spans="1:6" x14ac:dyDescent="0.2">
      <c r="A86" s="133" t="str">
        <f>IF(ISBLANK(Schedule1!A86),"",Schedule1!A86)</f>
        <v>30802</v>
      </c>
      <c r="B86" s="104" t="str">
        <f>IF(ISBLANK(Schedule1!B86),"",Schedule1!B86)</f>
        <v>Recycled aggregate base*</v>
      </c>
      <c r="C86" s="202"/>
      <c r="D86" s="34"/>
      <c r="E86" s="108" t="str">
        <f>IF(ISNUMBER(D86),+C$85*D86, "-")</f>
        <v>-</v>
      </c>
      <c r="F86" s="13"/>
    </row>
    <row r="87" spans="1:6" x14ac:dyDescent="0.2">
      <c r="A87" s="133" t="str">
        <f>IF(ISBLANK(Schedule1!A87),"",Schedule1!A87)</f>
        <v>30803</v>
      </c>
      <c r="B87" s="104" t="str">
        <f>IF(ISBLANK(Schedule1!B87),"",Schedule1!B87)</f>
        <v>Recycled aggregate base*</v>
      </c>
      <c r="C87" s="202"/>
      <c r="D87" s="34"/>
      <c r="E87" s="108" t="str">
        <f>IF(ISNUMBER(D87),+C$85*D87, "-")</f>
        <v>-</v>
      </c>
      <c r="F87" s="13"/>
    </row>
    <row r="88" spans="1:6" x14ac:dyDescent="0.2">
      <c r="A88" s="134" t="str">
        <f>IF(ISBLANK(Schedule1!A88),"",Schedule1!A88)</f>
        <v>Section 309 –</v>
      </c>
      <c r="B88" s="140" t="str">
        <f>IF(ISBLANK(Schedule1!B88),"",Schedule1!B88)</f>
        <v>Emulsified Asphalt Treated Base Course</v>
      </c>
      <c r="C88" s="107" t="s">
        <v>21</v>
      </c>
      <c r="D88" s="143" t="str">
        <f>IF(Units="US CUSTOMARY"," Tons","tonnes")</f>
        <v xml:space="preserve"> Tons</v>
      </c>
      <c r="E88" s="144" t="s">
        <v>22</v>
      </c>
      <c r="F88" s="13"/>
    </row>
    <row r="89" spans="1:6" x14ac:dyDescent="0.2">
      <c r="A89" s="133">
        <f>IF(ISBLANK(Schedule1!A89),"",Schedule1!A89)</f>
        <v>30901</v>
      </c>
      <c r="B89" s="104" t="str">
        <f>IF(ISBLANK(Schedule1!B89),"",Schedule1!B89)</f>
        <v>Emulsified asphalt treated aggregate base</v>
      </c>
      <c r="C89" s="204">
        <f>Fuel309</f>
        <v>0.7</v>
      </c>
      <c r="D89" s="34"/>
      <c r="E89" s="108" t="str">
        <f>IF(ISNUMBER(D89),+C$89*D89, "-")</f>
        <v>-</v>
      </c>
      <c r="F89" s="13"/>
    </row>
    <row r="90" spans="1:6" x14ac:dyDescent="0.2">
      <c r="A90" s="133">
        <f>IF(ISBLANK(Schedule1!A90),"",Schedule1!A90)</f>
        <v>30902</v>
      </c>
      <c r="B90" s="104" t="str">
        <f>IF(ISBLANK(Schedule1!B90),"",Schedule1!B90)</f>
        <v>Emulsified asphalt treated aggregate base*</v>
      </c>
      <c r="C90" s="202"/>
      <c r="D90" s="34"/>
      <c r="E90" s="108" t="str">
        <f>IF(ISNUMBER(D90),+C$89*D90, "-")</f>
        <v>-</v>
      </c>
      <c r="F90" s="13"/>
    </row>
    <row r="91" spans="1:6" x14ac:dyDescent="0.2">
      <c r="A91" s="133">
        <f>IF(ISBLANK(Schedule1!A91),"",Schedule1!A91)</f>
        <v>30903</v>
      </c>
      <c r="B91" s="104" t="str">
        <f>IF(ISBLANK(Schedule1!B91),"",Schedule1!B91)</f>
        <v>Emulsified asphalt treated aggregate base*</v>
      </c>
      <c r="C91" s="202"/>
      <c r="D91" s="34"/>
      <c r="E91" s="108" t="str">
        <f>IF(ISNUMBER(D91),+C$89*D91, "-")</f>
        <v>-</v>
      </c>
      <c r="F91" s="13"/>
    </row>
    <row r="92" spans="1:6" x14ac:dyDescent="0.2">
      <c r="A92" s="134" t="str">
        <f>IF(ISBLANK(Schedule1!A92),"",Schedule1!A92)</f>
        <v>Section 310 –</v>
      </c>
      <c r="B92" s="140" t="str">
        <f>IF(ISBLANK(Schedule1!B92),"",Schedule1!B92)</f>
        <v>Cold In-Place (CIP) Recycled Asphalt Base</v>
      </c>
      <c r="C92" s="107" t="s">
        <v>21</v>
      </c>
      <c r="D92" s="143" t="str">
        <f>IF(Units="US CUSTOMARY"," SQYD","m2")</f>
        <v xml:space="preserve"> SQYD</v>
      </c>
      <c r="E92" s="144" t="s">
        <v>22</v>
      </c>
      <c r="F92" s="13"/>
    </row>
    <row r="93" spans="1:6" x14ac:dyDescent="0.2">
      <c r="A93" s="133">
        <f>IF(ISBLANK(Schedule1!A93),"",Schedule1!A93)</f>
        <v>31001</v>
      </c>
      <c r="B93" s="104" t="str">
        <f>IF(ISBLANK(Schedule1!B93),"",Schedule1!B93)</f>
        <v>CIP recycled ashalt base*</v>
      </c>
      <c r="C93" s="202">
        <f>Fuel310</f>
        <v>0.15</v>
      </c>
      <c r="D93" s="34"/>
      <c r="E93" s="108" t="str">
        <f>IF(ISNUMBER(D93),+C$93*D93, "-")</f>
        <v>-</v>
      </c>
      <c r="F93" s="13"/>
    </row>
    <row r="94" spans="1:6" x14ac:dyDescent="0.2">
      <c r="A94" s="133">
        <f>IF(ISBLANK(Schedule1!A94),"",Schedule1!A94)</f>
        <v>31002</v>
      </c>
      <c r="B94" s="55" t="str">
        <f>IF(ISBLANK(Schedule1!B94),"",Schedule1!B94)</f>
        <v>CIP recycled ashalt base</v>
      </c>
      <c r="C94" s="202"/>
      <c r="D94" s="34"/>
      <c r="E94" s="108" t="str">
        <f>IF(ISNUMBER(D94),+C$93*D94, "-")</f>
        <v>-</v>
      </c>
      <c r="F94" s="13"/>
    </row>
    <row r="95" spans="1:6" x14ac:dyDescent="0.2">
      <c r="A95" s="134" t="str">
        <f>IF(ISBLANK(Schedule1!A95),"",Schedule1!A95)</f>
        <v>Section 311 –</v>
      </c>
      <c r="B95" s="140" t="str">
        <f>IF(ISBLANK(Schedule1!B95),"",Schedule1!B95)</f>
        <v>Stabilized Aggregate Base Course</v>
      </c>
      <c r="C95" s="107" t="s">
        <v>21</v>
      </c>
      <c r="D95" s="143" t="str">
        <f>IF(Units="US CUSTOMARY"," Tons"," tonnes")</f>
        <v xml:space="preserve"> Tons</v>
      </c>
      <c r="E95" s="144" t="s">
        <v>22</v>
      </c>
      <c r="F95" s="13"/>
    </row>
    <row r="96" spans="1:6" ht="22.5" x14ac:dyDescent="0.2">
      <c r="A96" s="133" t="str">
        <f>IF(ISBLANK(Schedule1!A96),"",Schedule1!A96)</f>
        <v>31101</v>
      </c>
      <c r="B96" s="55" t="str">
        <f>IF(ISBLANK(Schedule1!B96),"",Schedule1!B96)</f>
        <v>Stabilized aggregate surface course*,imported aggregate*</v>
      </c>
      <c r="C96" s="197">
        <f>Fuel311</f>
        <v>0.7</v>
      </c>
      <c r="D96" s="34"/>
      <c r="E96" s="108" t="str">
        <f>IF(ISNUMBER(D96),+C$96*D96, "-")</f>
        <v>-</v>
      </c>
      <c r="F96" s="13"/>
    </row>
    <row r="97" spans="1:6" ht="22.5" x14ac:dyDescent="0.2">
      <c r="A97" s="133">
        <f>IF(ISBLANK(Schedule1!A97),"",Schedule1!A97)</f>
        <v>31101</v>
      </c>
      <c r="B97" s="55" t="str">
        <f>IF(ISBLANK(Schedule1!B97),"",Schedule1!B97)</f>
        <v>Stabilized aggregate surface course*,in-place aggregate*</v>
      </c>
      <c r="C97" s="197"/>
      <c r="D97" s="34"/>
      <c r="E97" s="108" t="str">
        <f>IF(ISNUMBER(D97),+C$96*D97, "-")</f>
        <v>-</v>
      </c>
      <c r="F97" s="13"/>
    </row>
    <row r="98" spans="1:6" ht="22.5" x14ac:dyDescent="0.2">
      <c r="A98" s="133" t="str">
        <f>IF(ISBLANK(Schedule1!A98),"",Schedule1!A98)</f>
        <v>31102</v>
      </c>
      <c r="B98" s="55" t="str">
        <f>IF(ISBLANK(Schedule1!B98),"",Schedule1!B98)</f>
        <v>Stabilized aggregate surface course*,imported aggregate*</v>
      </c>
      <c r="C98" s="197"/>
      <c r="D98" s="34"/>
      <c r="E98" s="108" t="str">
        <f>IF(ISNUMBER(D98),+C$96*D98, "-")</f>
        <v>-</v>
      </c>
      <c r="F98" s="13"/>
    </row>
    <row r="99" spans="1:6" ht="22.5" x14ac:dyDescent="0.2">
      <c r="A99" s="133">
        <f>IF(ISBLANK(Schedule1!A99),"",Schedule1!A99)</f>
        <v>31102</v>
      </c>
      <c r="B99" s="55" t="str">
        <f>IF(ISBLANK(Schedule1!B99),"",Schedule1!B99)</f>
        <v>Stabilized aggregate surface course*,in-place aggregate*</v>
      </c>
      <c r="C99" s="197"/>
      <c r="D99" s="34"/>
      <c r="E99" s="108" t="str">
        <f>IF(ISNUMBER(D99),+C$96*D99, "-")</f>
        <v>-</v>
      </c>
      <c r="F99" s="13"/>
    </row>
    <row r="100" spans="1:6" x14ac:dyDescent="0.2">
      <c r="A100" s="133" t="str">
        <f>IF(ISBLANK(Schedule1!A100),"",Schedule1!A100)</f>
        <v>31103</v>
      </c>
      <c r="B100" s="55" t="str">
        <f>IF(ISBLANK(Schedule1!B100),"",Schedule1!B100)</f>
        <v>Stabilized aggregate surface course*</v>
      </c>
      <c r="C100" s="203"/>
      <c r="D100" s="34"/>
      <c r="E100" s="108" t="str">
        <f>IF(ISNUMBER(D100),+C$96*D100, "-")</f>
        <v>-</v>
      </c>
      <c r="F100" s="13"/>
    </row>
    <row r="101" spans="1:6" x14ac:dyDescent="0.2">
      <c r="A101" s="134" t="str">
        <f>IF(ISBLANK(Schedule1!A101),"",Schedule1!A101)</f>
        <v>Section 401 –</v>
      </c>
      <c r="B101" s="140" t="str">
        <f>IF(ISBLANK(Schedule1!B101),"",Schedule1!B101)</f>
        <v>ACP by Gyratory Mix Design Method</v>
      </c>
      <c r="C101" s="126" t="s">
        <v>21</v>
      </c>
      <c r="D101" s="128" t="str">
        <f>IF(Units="US CUSTOMARY"," Tons"," tonnes")</f>
        <v xml:space="preserve"> Tons</v>
      </c>
      <c r="E101" s="127" t="s">
        <v>22</v>
      </c>
      <c r="F101" s="13"/>
    </row>
    <row r="102" spans="1:6" x14ac:dyDescent="0.2">
      <c r="A102" s="133" t="str">
        <f>IF(ISBLANK(Schedule1!A102),"",Schedule1!A102)</f>
        <v>40101</v>
      </c>
      <c r="B102" s="104" t="str">
        <f>IF(ISBLANK(Schedule1!B102),"",Schedule1!B102)</f>
        <v>Asphalt concrete pavement, gyratory mix</v>
      </c>
      <c r="C102" s="197">
        <f>Fuel401</f>
        <v>2.4</v>
      </c>
      <c r="D102" s="34"/>
      <c r="E102" s="105" t="str">
        <f>IF(ISNUMBER(D102),+C$102*D102, "-")</f>
        <v>-</v>
      </c>
      <c r="F102" s="13"/>
    </row>
    <row r="103" spans="1:6" ht="22.5" x14ac:dyDescent="0.2">
      <c r="A103" s="133" t="str">
        <f>IF(ISBLANK(Schedule1!A103),"",Schedule1!A103)</f>
        <v>40102</v>
      </c>
      <c r="B103" s="55" t="str">
        <f>IF(ISBLANK(Schedule1!B103),"",Schedule1!B103)</f>
        <v>Asphalt concrete pavement, gyratory mix, wedged and leveling</v>
      </c>
      <c r="C103" s="197"/>
      <c r="D103" s="34"/>
      <c r="E103" s="105" t="str">
        <f>IF(ISNUMBER(D103),+C$102*D103, "-")</f>
        <v>-</v>
      </c>
      <c r="F103" s="13"/>
    </row>
    <row r="104" spans="1:6" ht="24" x14ac:dyDescent="0.2">
      <c r="A104" s="145" t="str">
        <f>IF(ISBLANK(Schedule1!A104),"",Schedule1!A104)</f>
        <v>Section 402 –</v>
      </c>
      <c r="B104" s="147" t="str">
        <f>IF(ISBLANK(Schedule1!B104),"",Schedule1!B104)</f>
        <v>ACP by Hveem or Marshall Mix Design Method</v>
      </c>
      <c r="C104" s="33" t="s">
        <v>21</v>
      </c>
      <c r="D104" s="143" t="str">
        <f>IF(Units="US CUSTOMARY"," Tons"," tonnes")</f>
        <v xml:space="preserve"> Tons</v>
      </c>
      <c r="E104" s="146" t="s">
        <v>22</v>
      </c>
      <c r="F104" s="13"/>
    </row>
    <row r="105" spans="1:6" x14ac:dyDescent="0.2">
      <c r="A105" s="133" t="str">
        <f>IF(ISBLANK(Schedule1!A105),"",Schedule1!A105)</f>
        <v>40201</v>
      </c>
      <c r="B105" s="104" t="str">
        <f>IF(ISBLANK(Schedule1!B105),"",Schedule1!B105)</f>
        <v>ACP Hveem or Marshall Mix Design Method</v>
      </c>
      <c r="C105" s="197">
        <f>Fuel402</f>
        <v>2.4</v>
      </c>
      <c r="D105" s="34"/>
      <c r="E105" s="105" t="str">
        <f>IF(ISNUMBER(D105),+C$105*D105, "-")</f>
        <v>-</v>
      </c>
      <c r="F105" s="13"/>
    </row>
    <row r="106" spans="1:6" ht="22.5" x14ac:dyDescent="0.2">
      <c r="A106" s="133" t="str">
        <f>IF(ISBLANK(Schedule1!A106),"",Schedule1!A106)</f>
        <v>40202</v>
      </c>
      <c r="B106" s="55" t="str">
        <f>IF(ISBLANK(Schedule1!B106),"",Schedule1!B106)</f>
        <v>ACP Hveen or Marshall Mix, wedge and leveling course</v>
      </c>
      <c r="C106" s="197"/>
      <c r="D106" s="34"/>
      <c r="E106" s="105" t="str">
        <f>IF(ISNUMBER(D106),+C$105*D106, "-")</f>
        <v>-</v>
      </c>
      <c r="F106" s="13"/>
    </row>
    <row r="107" spans="1:6" x14ac:dyDescent="0.2">
      <c r="A107" s="145" t="str">
        <f>IF(ISBLANK(Schedule1!A107),"",Schedule1!A107)</f>
        <v>Section 403 –</v>
      </c>
      <c r="B107" s="147" t="str">
        <f>IF(ISBLANK(Schedule1!B107),"",Schedule1!B107)</f>
        <v>Asphalt Concrete</v>
      </c>
      <c r="C107" s="33" t="s">
        <v>21</v>
      </c>
      <c r="D107" s="143" t="str">
        <f>IF(Units="US CUSTOMARY"," Tons"," tonnes")</f>
        <v xml:space="preserve"> Tons</v>
      </c>
      <c r="E107" s="146" t="s">
        <v>22</v>
      </c>
      <c r="F107" s="13"/>
    </row>
    <row r="108" spans="1:6" x14ac:dyDescent="0.2">
      <c r="A108" s="133">
        <f>IF(ISBLANK(Schedule1!A108),"",Schedule1!A108)</f>
        <v>40301</v>
      </c>
      <c r="B108" s="104" t="str">
        <f>IF(ISBLANK(Schedule1!B108),"",Schedule1!B108)</f>
        <v>Asphalt concrete pavement</v>
      </c>
      <c r="C108" s="197">
        <f>Fuel403</f>
        <v>2.4</v>
      </c>
      <c r="D108" s="34"/>
      <c r="E108" s="105" t="str">
        <f>IF(ISNUMBER(D108),+C$108*D108, "-")</f>
        <v>-</v>
      </c>
      <c r="F108" s="13"/>
    </row>
    <row r="109" spans="1:6" x14ac:dyDescent="0.2">
      <c r="A109" s="133">
        <f>IF(ISBLANK(Schedule1!A109),"",Schedule1!A109)</f>
        <v>40302</v>
      </c>
      <c r="B109" s="104" t="str">
        <f>IF(ISBLANK(Schedule1!B109),"",Schedule1!B109)</f>
        <v>Asphalt concrete pavement*</v>
      </c>
      <c r="C109" s="197"/>
      <c r="D109" s="34"/>
      <c r="E109" s="105" t="str">
        <f>IF(ISNUMBER(D109),+C$108*D109, "-")</f>
        <v>-</v>
      </c>
      <c r="F109" s="13"/>
    </row>
    <row r="110" spans="1:6" ht="22.5" x14ac:dyDescent="0.2">
      <c r="A110" s="133">
        <f>IF(ISBLANK(Schedule1!A110),"",Schedule1!A110)</f>
        <v>40303</v>
      </c>
      <c r="B110" s="55" t="str">
        <f>IF(ISBLANK(Schedule1!B110),"",Schedule1!B110)</f>
        <v>Asphalt concrete pavement, wedge and leveling course</v>
      </c>
      <c r="C110" s="197"/>
      <c r="D110" s="34"/>
      <c r="E110" s="105" t="str">
        <f>IF(ISNUMBER(D110),+C$108*D110, "-")</f>
        <v>-</v>
      </c>
      <c r="F110" s="13"/>
    </row>
    <row r="111" spans="1:6" ht="12.75" customHeight="1" x14ac:dyDescent="0.2">
      <c r="A111" s="101"/>
      <c r="B111" s="35"/>
      <c r="C111" s="49"/>
      <c r="D111" s="46"/>
      <c r="E111" s="24"/>
      <c r="F111" s="24"/>
    </row>
    <row r="112" spans="1:6" ht="18.75" thickBot="1" x14ac:dyDescent="0.3">
      <c r="A112" s="200" t="s">
        <v>78</v>
      </c>
      <c r="B112" s="200"/>
      <c r="C112" s="200"/>
      <c r="D112" s="200"/>
      <c r="E112" s="200"/>
      <c r="F112" s="200"/>
    </row>
    <row r="113" spans="1:6" ht="14.25" thickTop="1" thickBot="1" x14ac:dyDescent="0.25">
      <c r="A113" s="70"/>
      <c r="B113" s="96" t="s">
        <v>94</v>
      </c>
      <c r="C113" s="98" t="str">
        <f>FP</f>
        <v>FP-14</v>
      </c>
      <c r="D113" s="73"/>
      <c r="E113" s="73"/>
      <c r="F113" s="73"/>
    </row>
    <row r="114" spans="1:6" ht="14.25" thickTop="1" thickBot="1" x14ac:dyDescent="0.25">
      <c r="A114" s="70"/>
      <c r="B114" s="70"/>
      <c r="C114" s="74"/>
      <c r="D114" s="73"/>
      <c r="E114" s="64" t="s">
        <v>1</v>
      </c>
      <c r="F114" s="65">
        <f ca="1">Date</f>
        <v>45469</v>
      </c>
    </row>
    <row r="115" spans="1:6" ht="14.25" thickTop="1" thickBot="1" x14ac:dyDescent="0.25">
      <c r="A115" s="61" t="s">
        <v>0</v>
      </c>
      <c r="B115" s="120" t="str">
        <f>ProjNum</f>
        <v>WA WFL Test(1)</v>
      </c>
      <c r="C115" s="99"/>
      <c r="D115" s="100"/>
      <c r="E115" s="66" t="s">
        <v>3</v>
      </c>
      <c r="F115" s="98" t="str">
        <f>SchedType</f>
        <v>Option</v>
      </c>
    </row>
    <row r="116" spans="1:6" ht="14.25" thickTop="1" thickBot="1" x14ac:dyDescent="0.25">
      <c r="A116" s="61" t="s">
        <v>2</v>
      </c>
      <c r="B116" s="201" t="str">
        <f>ProjName</f>
        <v>Wafflehead Park Road</v>
      </c>
      <c r="C116" s="201"/>
      <c r="D116" s="201"/>
      <c r="E116" s="66" t="s">
        <v>5</v>
      </c>
      <c r="F116" s="98" t="str">
        <f>SchedLet</f>
        <v>Y</v>
      </c>
    </row>
    <row r="117" spans="1:6" ht="14.25" thickTop="1" thickBot="1" x14ac:dyDescent="0.25">
      <c r="A117" s="61"/>
      <c r="B117" s="75"/>
      <c r="C117" s="75"/>
      <c r="D117" s="75"/>
      <c r="E117" s="64" t="s">
        <v>7</v>
      </c>
      <c r="F117" s="98" t="str">
        <f>Units</f>
        <v>US CUSTOMARY</v>
      </c>
    </row>
    <row r="118" spans="1:6" ht="14.25" thickTop="1" thickBot="1" x14ac:dyDescent="0.25">
      <c r="A118" s="2"/>
      <c r="B118" s="2"/>
      <c r="C118" s="3"/>
      <c r="D118" s="4"/>
      <c r="E118" s="6"/>
      <c r="F118" s="5"/>
    </row>
    <row r="119" spans="1:6" ht="19.5" customHeight="1" thickBot="1" x14ac:dyDescent="0.25">
      <c r="A119" s="41" t="s">
        <v>45</v>
      </c>
      <c r="B119" s="42"/>
      <c r="C119" s="42"/>
      <c r="D119" s="42"/>
      <c r="E119" s="42"/>
      <c r="F119" s="43"/>
    </row>
    <row r="120" spans="1:6" x14ac:dyDescent="0.2">
      <c r="A120" s="7"/>
      <c r="B120" s="23"/>
      <c r="C120" s="24"/>
      <c r="D120" s="24"/>
      <c r="E120" s="24"/>
      <c r="F120" s="24"/>
    </row>
    <row r="121" spans="1:6" ht="15" customHeight="1" x14ac:dyDescent="0.2">
      <c r="A121" s="145" t="str">
        <f>IF(ISBLANK(Schedule1!A121),"",Schedule1!A121)</f>
        <v>Section 404 –</v>
      </c>
      <c r="B121" s="147" t="str">
        <f>IF(ISBLANK(Schedule1!B121),"",Schedule1!B121)</f>
        <v>RESERVED</v>
      </c>
      <c r="C121" s="33" t="s">
        <v>21</v>
      </c>
      <c r="D121" s="143" t="str">
        <f>IF(Units="US CUSTOMARY"," Tons"," tonnes")</f>
        <v xml:space="preserve"> Tons</v>
      </c>
      <c r="E121" s="146" t="s">
        <v>22</v>
      </c>
      <c r="F121" s="24"/>
    </row>
    <row r="122" spans="1:6" x14ac:dyDescent="0.2">
      <c r="A122" s="33" t="str">
        <f>IF(ISBLANK(Schedule1!A122),"",Schedule1!A122)</f>
        <v>-</v>
      </c>
      <c r="B122" s="104" t="str">
        <f>IF(ISBLANK(Schedule1!B122),"",Schedule1!B122)</f>
        <v>-</v>
      </c>
      <c r="C122" s="198">
        <f>Fuel404</f>
        <v>2.4</v>
      </c>
      <c r="D122" s="34"/>
      <c r="E122" s="105" t="str">
        <f>IF(ISNUMBER(D122),+C$122*D122, "-")</f>
        <v>-</v>
      </c>
      <c r="F122" s="24"/>
    </row>
    <row r="123" spans="1:6" x14ac:dyDescent="0.2">
      <c r="A123" s="33" t="str">
        <f>IF(ISBLANK(Schedule1!A123),"",Schedule1!A123)</f>
        <v>-</v>
      </c>
      <c r="B123" s="104" t="str">
        <f>IF(ISBLANK(Schedule1!B123),"",Schedule1!B123)</f>
        <v>-</v>
      </c>
      <c r="C123" s="199"/>
      <c r="D123" s="34"/>
      <c r="E123" s="105" t="str">
        <f>IF(ISNUMBER(D123),+C$122*D123, "-")</f>
        <v>-</v>
      </c>
      <c r="F123" s="24"/>
    </row>
    <row r="124" spans="1:6" ht="15" customHeight="1" x14ac:dyDescent="0.2">
      <c r="A124" s="145" t="str">
        <f>IF(ISBLANK(Schedule1!A124),"",Schedule1!A124)</f>
        <v>Section 405 –</v>
      </c>
      <c r="B124" s="147" t="str">
        <f>IF(ISBLANK(Schedule1!B124),"",Schedule1!B124)</f>
        <v>Open-Graded Asphalt Friction</v>
      </c>
      <c r="C124" s="33" t="s">
        <v>21</v>
      </c>
      <c r="D124" s="143" t="str">
        <f>IF(Units="US CUSTOMARY"," Tons"," tonnes")</f>
        <v xml:space="preserve"> Tons</v>
      </c>
      <c r="E124" s="146" t="s">
        <v>22</v>
      </c>
      <c r="F124" s="24"/>
    </row>
    <row r="125" spans="1:6" ht="15" x14ac:dyDescent="0.2">
      <c r="A125" s="33">
        <f>IF(ISBLANK(Schedule1!A125),"",Schedule1!A125)</f>
        <v>40501</v>
      </c>
      <c r="B125" s="106" t="str">
        <f>IF(ISBLANK(Schedule1!B125),"",Schedule1!B125)</f>
        <v>Open-graded asphalt friction course</v>
      </c>
      <c r="C125" s="121">
        <f>Fuel405</f>
        <v>2.4</v>
      </c>
      <c r="D125" s="34"/>
      <c r="E125" s="105" t="str">
        <f>IF(ISNUMBER(D125),+C$125*D125, "-")</f>
        <v>-</v>
      </c>
      <c r="F125" s="24"/>
    </row>
    <row r="126" spans="1:6" ht="15" customHeight="1" x14ac:dyDescent="0.2">
      <c r="A126" s="145" t="str">
        <f>IF(ISBLANK(Schedule1!A126),"",Schedule1!A126)</f>
        <v>Section 408 –</v>
      </c>
      <c r="B126" s="147" t="str">
        <f>IF(ISBLANK(Schedule1!B126),"",Schedule1!B126)</f>
        <v>Cold Recycled Asphalt Base Course</v>
      </c>
      <c r="C126" s="33" t="s">
        <v>21</v>
      </c>
      <c r="D126" s="143" t="str">
        <f>IF(Units="US CUSTOMARY"," Tons"," tonnes")</f>
        <v xml:space="preserve"> Tons</v>
      </c>
      <c r="E126" s="146" t="s">
        <v>22</v>
      </c>
      <c r="F126" s="13"/>
    </row>
    <row r="127" spans="1:6" ht="12.75" customHeight="1" x14ac:dyDescent="0.2">
      <c r="A127" s="33" t="str">
        <f>IF(ISBLANK(Schedule1!A127),"",Schedule1!A127)</f>
        <v>40801</v>
      </c>
      <c r="B127" s="104" t="str">
        <f>IF(ISBLANK(Schedule1!B127),"",Schedule1!B127)</f>
        <v>Cold recycled asphalt base course</v>
      </c>
      <c r="C127" s="198">
        <f>Fuel408</f>
        <v>0.7</v>
      </c>
      <c r="D127" s="34"/>
      <c r="E127" s="105" t="str">
        <f>IF(ISNUMBER(D127),+C$127*D127, "-")</f>
        <v>-</v>
      </c>
      <c r="F127" s="13"/>
    </row>
    <row r="128" spans="1:6" ht="12.75" customHeight="1" x14ac:dyDescent="0.2">
      <c r="A128" s="33" t="str">
        <f>IF(ISBLANK(Schedule1!A128),"",Schedule1!A128)</f>
        <v>40802</v>
      </c>
      <c r="B128" s="104" t="str">
        <f>IF(ISBLANK(Schedule1!B128),"",Schedule1!B128)</f>
        <v>Cold recycled asphalt base course*</v>
      </c>
      <c r="C128" s="199"/>
      <c r="D128" s="34"/>
      <c r="E128" s="105" t="str">
        <f>IF(ISNUMBER(D128),+C$127*D128, "-")</f>
        <v>-</v>
      </c>
      <c r="F128" s="13"/>
    </row>
    <row r="129" spans="1:7" ht="15" customHeight="1" x14ac:dyDescent="0.2">
      <c r="A129" s="145" t="str">
        <f>IF(ISBLANK(Schedule1!A129),"",Schedule1!A129)</f>
        <v>Section 501 –</v>
      </c>
      <c r="B129" s="147" t="str">
        <f>IF(ISBLANK(Schedule1!B129),"",Schedule1!B129)</f>
        <v>Minor Concrete Pavement</v>
      </c>
      <c r="C129" s="33" t="s">
        <v>21</v>
      </c>
      <c r="D129" s="143" t="str">
        <f>IF(Units="US CUSTOMARY"," SQYD","m2")</f>
        <v xml:space="preserve"> SQYD</v>
      </c>
      <c r="E129" s="146" t="s">
        <v>22</v>
      </c>
      <c r="F129" s="13"/>
    </row>
    <row r="130" spans="1:7" ht="12.75" customHeight="1" x14ac:dyDescent="0.2">
      <c r="A130" s="33">
        <f>IF(ISBLANK(Schedule1!A130),"",Schedule1!A130)</f>
        <v>50101</v>
      </c>
      <c r="B130" s="104" t="str">
        <f>IF(ISBLANK(Schedule1!B130),"",Schedule1!B130)</f>
        <v>Minor concrete pacement, reinforced</v>
      </c>
      <c r="C130" s="198">
        <f>Fuel501</f>
        <v>0.6</v>
      </c>
      <c r="D130" s="34"/>
      <c r="E130" s="105" t="str">
        <f>IF(ISNUMBER(D130),+C$130*D130, "-")</f>
        <v>-</v>
      </c>
      <c r="F130" s="13"/>
    </row>
    <row r="131" spans="1:7" ht="12.75" customHeight="1" x14ac:dyDescent="0.2">
      <c r="A131" s="33">
        <f>IF(ISBLANK(Schedule1!A131),"",Schedule1!A131)</f>
        <v>50102</v>
      </c>
      <c r="B131" s="104" t="str">
        <f>IF(ISBLANK(Schedule1!B131),"",Schedule1!B131)</f>
        <v>Minor concrete pavement, plain</v>
      </c>
      <c r="C131" s="199"/>
      <c r="D131" s="34"/>
      <c r="E131" s="105" t="str">
        <f>IF(ISNUMBER(D131),+C$130*D131, "-")</f>
        <v>-</v>
      </c>
      <c r="F131" s="13"/>
    </row>
    <row r="132" spans="1:7" ht="12.75" customHeight="1" x14ac:dyDescent="0.2">
      <c r="A132" s="154" t="str">
        <f>IF(ISBLANK(Schedule1!A132),"",Schedule1!A132)</f>
        <v>* The Government, to agree with the units associated with the applicable Fuel Usage Factor, will convert work quantities, as necessary.</v>
      </c>
      <c r="B132" s="25"/>
      <c r="C132" s="26"/>
      <c r="D132" s="27"/>
      <c r="E132" s="27"/>
      <c r="F132" s="27"/>
    </row>
    <row r="133" spans="1:7" ht="12.75" customHeight="1" x14ac:dyDescent="0.2">
      <c r="A133" s="25"/>
      <c r="B133" s="25"/>
      <c r="C133" s="26"/>
      <c r="D133" s="27"/>
      <c r="E133" s="27"/>
      <c r="F133" s="27"/>
    </row>
    <row r="134" spans="1:7" ht="12.75" customHeight="1" x14ac:dyDescent="0.2">
      <c r="A134" s="25"/>
      <c r="B134" s="25"/>
      <c r="C134" s="26"/>
      <c r="D134" s="27"/>
      <c r="E134" s="27"/>
      <c r="F134" s="27"/>
    </row>
    <row r="135" spans="1:7" ht="18" x14ac:dyDescent="0.2">
      <c r="A135" s="155"/>
      <c r="B135" s="39"/>
      <c r="C135" s="40" t="str">
        <f>IF(ISBLANK(Schedule1!C135),"",Schedule1!C135)</f>
        <v xml:space="preserve">Total Quantity of Work x FUF (see 109.06, Table 1)   = </v>
      </c>
      <c r="D135" s="111">
        <f>SUM(E61:E132)</f>
        <v>0</v>
      </c>
      <c r="E135" s="7"/>
      <c r="F135" s="7"/>
      <c r="G135" s="76"/>
    </row>
    <row r="136" spans="1:7" ht="18" x14ac:dyDescent="0.2">
      <c r="A136" s="7"/>
      <c r="B136" s="112"/>
      <c r="C136" s="113" t="str">
        <f>IF(ISBLANK(Schedule1!C136),"",Schedule1!C136)</f>
        <v>BPI for Low Sulfur, No. 2 Diesel Fuel per Gallon</v>
      </c>
      <c r="D136" s="114"/>
      <c r="E136" s="24"/>
      <c r="F136" s="24"/>
      <c r="G136" s="76"/>
    </row>
    <row r="137" spans="1:7" ht="18" x14ac:dyDescent="0.2">
      <c r="A137" s="7"/>
      <c r="B137" s="115"/>
      <c r="C137" s="113" t="str">
        <f>IF(ISBLANK(Schedule1!C137),"",Schedule1!C137)</f>
        <v>Max MPPI (BPI x 1.6)</v>
      </c>
      <c r="D137" s="116">
        <f>IFERROR(D136*1.6,"-")</f>
        <v>0</v>
      </c>
      <c r="E137" s="24"/>
      <c r="F137" s="24"/>
      <c r="G137" s="76"/>
    </row>
    <row r="138" spans="1:7" ht="18" x14ac:dyDescent="0.2">
      <c r="A138" s="25"/>
      <c r="B138" s="115"/>
      <c r="C138" s="117" t="str">
        <f>IF(ISBLANK(Schedule1!C138),"",Schedule1!C138)</f>
        <v>Maximum Payment to Contractor</v>
      </c>
      <c r="D138" s="148">
        <f>IFERROR((1.6-1.1)*D136*D135,"-")</f>
        <v>0</v>
      </c>
      <c r="E138" s="27"/>
      <c r="F138" s="27"/>
      <c r="G138" s="76"/>
    </row>
    <row r="139" spans="1:7" ht="18" x14ac:dyDescent="0.15">
      <c r="A139" s="25"/>
      <c r="B139" s="115"/>
      <c r="C139" s="117" t="str">
        <f>IF(ISBLANK(Schedule1!C139),"",Schedule1!C139)</f>
        <v>% of Max. Payment to Contractor (15%-30%)</v>
      </c>
      <c r="D139" s="149"/>
      <c r="E139" s="28"/>
      <c r="F139" s="29"/>
      <c r="G139" s="76"/>
    </row>
    <row r="140" spans="1:7" ht="18" x14ac:dyDescent="0.15">
      <c r="A140" s="25"/>
      <c r="B140" s="118"/>
      <c r="C140" s="119" t="s">
        <v>51</v>
      </c>
      <c r="D140" s="110">
        <f>SUM(D139)*D138</f>
        <v>0</v>
      </c>
      <c r="E140" s="28"/>
      <c r="F140" s="29"/>
      <c r="G140" s="76"/>
    </row>
    <row r="141" spans="1:7" x14ac:dyDescent="0.2">
      <c r="A141" s="25"/>
      <c r="B141" s="25"/>
      <c r="C141" s="37"/>
      <c r="D141" s="38"/>
      <c r="E141" s="28"/>
      <c r="F141" s="29"/>
    </row>
    <row r="142" spans="1:7" x14ac:dyDescent="0.2">
      <c r="A142" s="30"/>
      <c r="B142" s="31"/>
      <c r="C142" s="26"/>
      <c r="D142" s="27"/>
      <c r="E142" s="27"/>
      <c r="F142" s="27"/>
    </row>
    <row r="143" spans="1:7" ht="13.5" thickBot="1" x14ac:dyDescent="0.2">
      <c r="A143" s="25"/>
      <c r="B143" s="25"/>
      <c r="C143" s="26"/>
      <c r="D143" s="27"/>
      <c r="E143" s="28"/>
      <c r="F143" s="29"/>
    </row>
    <row r="144" spans="1:7" ht="19.5" customHeight="1" thickBot="1" x14ac:dyDescent="0.25">
      <c r="A144" s="150" t="s">
        <v>52</v>
      </c>
      <c r="B144" s="44"/>
      <c r="C144" s="44"/>
      <c r="D144" s="44"/>
      <c r="E144" s="44"/>
      <c r="F144" s="45"/>
    </row>
    <row r="145" spans="1:7" x14ac:dyDescent="0.2">
      <c r="A145" s="30"/>
      <c r="B145" s="31"/>
      <c r="C145" s="26"/>
      <c r="D145" s="27"/>
      <c r="E145" s="27"/>
      <c r="F145" s="27"/>
    </row>
    <row r="146" spans="1:7" x14ac:dyDescent="0.2">
      <c r="A146" s="7"/>
      <c r="B146" s="23"/>
      <c r="C146" s="24"/>
      <c r="D146" s="24"/>
      <c r="E146" s="24"/>
      <c r="F146" s="24"/>
    </row>
    <row r="147" spans="1:7" ht="18.75" thickBot="1" x14ac:dyDescent="0.2">
      <c r="A147" s="25"/>
      <c r="B147" s="39"/>
      <c r="C147" s="40" t="s">
        <v>53</v>
      </c>
      <c r="D147" s="151"/>
      <c r="E147" s="28"/>
      <c r="F147" s="29"/>
      <c r="G147" s="76"/>
    </row>
    <row r="148" spans="1:7" ht="18.75" thickTop="1" x14ac:dyDescent="0.15">
      <c r="A148" s="25"/>
      <c r="B148" s="112"/>
      <c r="C148" s="113" t="s">
        <v>54</v>
      </c>
      <c r="D148" s="152"/>
      <c r="E148" s="28"/>
      <c r="F148" s="29"/>
      <c r="G148" s="76"/>
    </row>
    <row r="149" spans="1:7" ht="18" x14ac:dyDescent="0.15">
      <c r="A149" s="25"/>
      <c r="B149" s="115"/>
      <c r="C149" s="113" t="s">
        <v>48</v>
      </c>
      <c r="D149" s="116">
        <f>IFERROR(D148*1.6,"-")</f>
        <v>0</v>
      </c>
      <c r="E149" s="28"/>
      <c r="F149" s="29"/>
      <c r="G149" s="76"/>
    </row>
    <row r="150" spans="1:7" ht="18" x14ac:dyDescent="0.15">
      <c r="A150" s="25"/>
      <c r="B150" s="115"/>
      <c r="C150" s="117" t="s">
        <v>55</v>
      </c>
      <c r="D150" s="148">
        <f>IFERROR((1.6-1.1)*D148*(D147*0.06),"-")</f>
        <v>0</v>
      </c>
      <c r="E150" s="28"/>
      <c r="F150" s="29"/>
      <c r="G150" s="76"/>
    </row>
    <row r="151" spans="1:7" ht="18" x14ac:dyDescent="0.15">
      <c r="A151" s="25"/>
      <c r="B151" s="115"/>
      <c r="C151" s="117" t="s">
        <v>50</v>
      </c>
      <c r="D151" s="149"/>
      <c r="E151" s="28"/>
      <c r="F151" s="29"/>
      <c r="G151" s="76"/>
    </row>
    <row r="152" spans="1:7" ht="18" x14ac:dyDescent="0.2">
      <c r="A152" s="25"/>
      <c r="B152" s="118"/>
      <c r="C152" s="119" t="s">
        <v>56</v>
      </c>
      <c r="D152" s="110">
        <f>SUM(D151)*D150</f>
        <v>0</v>
      </c>
      <c r="E152" s="27"/>
      <c r="F152" s="27"/>
      <c r="G152" s="76"/>
    </row>
    <row r="153" spans="1:7" x14ac:dyDescent="0.2">
      <c r="A153" s="25"/>
      <c r="B153" s="25"/>
      <c r="C153" s="26"/>
      <c r="D153" s="27"/>
      <c r="E153" s="27"/>
      <c r="F153" s="27"/>
    </row>
    <row r="154" spans="1:7" x14ac:dyDescent="0.2">
      <c r="A154" s="30"/>
      <c r="B154" s="31"/>
      <c r="C154" s="26"/>
      <c r="D154" s="27"/>
      <c r="E154" s="27"/>
      <c r="F154" s="27"/>
    </row>
    <row r="155" spans="1:7" x14ac:dyDescent="0.2">
      <c r="A155" s="31"/>
      <c r="B155" s="31"/>
      <c r="C155" s="26"/>
      <c r="D155" s="27"/>
      <c r="E155" s="27"/>
      <c r="F155" s="27"/>
    </row>
  </sheetData>
  <dataConsolidate/>
  <mergeCells count="26">
    <mergeCell ref="A32:E32"/>
    <mergeCell ref="A1:F1"/>
    <mergeCell ref="B5:D5"/>
    <mergeCell ref="A8:F8"/>
    <mergeCell ref="A18:F18"/>
    <mergeCell ref="A25:F25"/>
    <mergeCell ref="C96:C100"/>
    <mergeCell ref="A34:F34"/>
    <mergeCell ref="A41:E41"/>
    <mergeCell ref="A52:F52"/>
    <mergeCell ref="B56:D56"/>
    <mergeCell ref="C62:C66"/>
    <mergeCell ref="C68:C71"/>
    <mergeCell ref="C73:C80"/>
    <mergeCell ref="C82:C83"/>
    <mergeCell ref="C85:C87"/>
    <mergeCell ref="C89:C91"/>
    <mergeCell ref="C93:C94"/>
    <mergeCell ref="C127:C128"/>
    <mergeCell ref="C130:C131"/>
    <mergeCell ref="C102:C103"/>
    <mergeCell ref="C105:C106"/>
    <mergeCell ref="C108:C110"/>
    <mergeCell ref="A112:F112"/>
    <mergeCell ref="B116:D116"/>
    <mergeCell ref="C122:C123"/>
  </mergeCells>
  <conditionalFormatting sqref="A61:E131">
    <cfRule type="expression" dxfId="1" priority="1">
      <formula>$C61="FUF"</formula>
    </cfRule>
  </conditionalFormatting>
  <dataValidations count="8">
    <dataValidation type="list" showInputMessage="1" showErrorMessage="1" error="Please use drop-down menu to select a schedule letter" promptTitle="Choose Letter" prompt="If you need more than six schedules, then copy addtional sheet tabs and calculate incentives separately for each schedule._x000a__x000a_Sheets tabs can be copied by left clicking the active tab, choosing 'Move or Copy', then clicking the 'Create Copy' checkbox.  " sqref="F5" xr:uid="{36848C6D-C65A-44B3-8F8C-68D8DF1AE1A9}">
      <formula1>"  , A, B, C, D, E, F, G, W, X, Y, Z"</formula1>
    </dataValidation>
    <dataValidation type="whole" operator="greaterThanOrEqual" allowBlank="1" showInputMessage="1" showErrorMessage="1" error="Bid decimals set to zero._x000a__x000a_Contact Steve Chapman (X7801)_x000a_                   or_x000a_    Greg Kwock (X7987)_x000a__x000a_to modify Incentive Spreadsheet." sqref="C24 C30 C111" xr:uid="{84EBCD8C-275E-4D09-A9FE-0B5E6F0EBB21}">
      <formula1>0</formula1>
    </dataValidation>
    <dataValidation type="whole" operator="greaterThanOrEqual" allowBlank="1" showInputMessage="1" showErrorMessage="1" error="Bid decimals set to zero._x000a__x000a_Contact Heidi Hirsbrunner (X3622)_x000a_                _x000a_to modify Incentive Spreadsheet." sqref="C36:C38 C10:C17 C20:C23 C27:C29" xr:uid="{9D807F19-C5A9-48F4-9F3A-5BD0DC3662CF}">
      <formula1>0</formula1>
    </dataValidation>
    <dataValidation type="whole" operator="greaterThanOrEqual" allowBlank="1" showInputMessage="1" showErrorMessage="1" error="Bid decimals set to zero._x000a__x000a_Contact Heidi Hirsbrunner (X3622)_x000a_                   _x000a_to modify Incentive Spreadsheet." sqref="D68:D71 D62:D66" xr:uid="{1A7A2073-C0C8-4AFA-BEE3-D3DC00A1EE47}">
      <formula1>0</formula1>
    </dataValidation>
    <dataValidation type="whole" operator="greaterThanOrEqual" allowBlank="1" showInputMessage="1" showErrorMessage="1" error="Bid decimals set to zero._x000a__x000a_Contact Heidi Hirsbrunner (X3622) _x000a__x000a_to modify Incentive Spreadsheet." sqref="D73:D80 D82:D83" xr:uid="{1F5A1B72-C64C-4308-8F79-BF8B63471776}">
      <formula1>0</formula1>
    </dataValidation>
    <dataValidation type="whole" operator="greaterThanOrEqual" allowBlank="1" showInputMessage="1" showErrorMessage="1" error="Bid decimals set to zero._x000a__x000a_Contact Heidi Hirsbrunner (X3622)_x000a__x000a_to modify Incentive Spreadsheet." sqref="D108:D110 D93:D94 D130:D131 D102:D103 D89:D91 D125 D122:D123 D127:D128 D85:D87 D105:D106 D96:D100" xr:uid="{FB123E95-6FD7-4B2D-BF46-580F9E49FEA6}">
      <formula1>0</formula1>
    </dataValidation>
    <dataValidation type="list" allowBlank="1" showInputMessage="1" showErrorMessage="1" promptTitle="Select Schedule Type" prompt="Select Base, Option, or Alternate" sqref="F4" xr:uid="{AB0B2651-B04E-491D-8AF9-65046A4CF270}">
      <formula1>", Base, Option, Alternate"</formula1>
    </dataValidation>
    <dataValidation allowBlank="1" showInputMessage="1" showErrorMessage="1" promptTitle="Enter project name" prompt="Example:  Pinto Basin Road" sqref="B6:D6" xr:uid="{98CC3829-638D-45C0-87A8-800ED80F7677}"/>
  </dataValidations>
  <printOptions horizontalCentered="1"/>
  <pageMargins left="0.45" right="0.45" top="0.6" bottom="0.25" header="0" footer="0.05"/>
  <pageSetup scale="81" fitToHeight="2" orientation="portrait" r:id="rId1"/>
  <headerFooter>
    <oddFooter>&amp;RRev. 04-23-2024</oddFooter>
  </headerFooter>
  <rowBreaks count="2" manualBreakCount="2">
    <brk id="51" max="7" man="1"/>
    <brk id="111" max="6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BEEFF-9364-4388-B404-06EF9F3FBEA0}">
  <dimension ref="A1:G155"/>
  <sheetViews>
    <sheetView showGridLines="0" zoomScaleNormal="100" workbookViewId="0">
      <selection activeCell="F5" sqref="F5"/>
    </sheetView>
  </sheetViews>
  <sheetFormatPr defaultColWidth="9.140625" defaultRowHeight="12.75" x14ac:dyDescent="0.2"/>
  <cols>
    <col min="1" max="1" width="14.7109375" style="1" customWidth="1"/>
    <col min="2" max="2" width="36.7109375" style="1" customWidth="1"/>
    <col min="3" max="3" width="14.7109375" style="20" customWidth="1"/>
    <col min="4" max="5" width="14.7109375" style="21" customWidth="1"/>
    <col min="6" max="6" width="16.7109375" style="21" customWidth="1"/>
    <col min="7" max="16384" width="9.140625" style="1"/>
  </cols>
  <sheetData>
    <row r="1" spans="1:7" ht="24" thickBot="1" x14ac:dyDescent="0.25">
      <c r="A1" s="206" t="s">
        <v>77</v>
      </c>
      <c r="B1" s="206"/>
      <c r="C1" s="206"/>
      <c r="D1" s="206"/>
      <c r="E1" s="206"/>
      <c r="F1" s="206"/>
      <c r="G1" s="77" t="s">
        <v>91</v>
      </c>
    </row>
    <row r="2" spans="1:7" ht="14.25" thickTop="1" thickBot="1" x14ac:dyDescent="0.25">
      <c r="A2" s="70"/>
      <c r="B2" s="96" t="s">
        <v>94</v>
      </c>
      <c r="C2" s="98" t="str">
        <f>FP</f>
        <v>FP-14</v>
      </c>
      <c r="D2" s="73"/>
      <c r="E2" s="73"/>
      <c r="F2" s="73"/>
    </row>
    <row r="3" spans="1:7" ht="19.5" thickTop="1" thickBot="1" x14ac:dyDescent="0.25">
      <c r="A3" s="70"/>
      <c r="B3" s="70"/>
      <c r="C3" s="74"/>
      <c r="D3" s="73"/>
      <c r="E3" s="64" t="s">
        <v>1</v>
      </c>
      <c r="F3" s="65">
        <f ca="1" xml:space="preserve"> TODAY()</f>
        <v>45469</v>
      </c>
      <c r="G3" s="76"/>
    </row>
    <row r="4" spans="1:7" ht="19.5" thickTop="1" thickBot="1" x14ac:dyDescent="0.25">
      <c r="A4" s="96" t="s">
        <v>107</v>
      </c>
      <c r="B4" s="120" t="str">
        <f>ProjNum</f>
        <v>WA WFL Test(1)</v>
      </c>
      <c r="C4" s="99"/>
      <c r="D4" s="100"/>
      <c r="E4" s="66" t="s">
        <v>3</v>
      </c>
      <c r="F4" s="67" t="s">
        <v>59</v>
      </c>
      <c r="G4" s="76"/>
    </row>
    <row r="5" spans="1:7" ht="19.5" thickTop="1" thickBot="1" x14ac:dyDescent="0.25">
      <c r="A5" s="96" t="s">
        <v>108</v>
      </c>
      <c r="B5" s="201" t="str">
        <f>ProjName</f>
        <v>Wafflehead Park Road</v>
      </c>
      <c r="C5" s="201"/>
      <c r="D5" s="201"/>
      <c r="E5" s="66" t="s">
        <v>5</v>
      </c>
      <c r="F5" s="68" t="s">
        <v>62</v>
      </c>
      <c r="G5" s="76"/>
    </row>
    <row r="6" spans="1:7" ht="19.5" thickTop="1" thickBot="1" x14ac:dyDescent="0.25">
      <c r="A6" s="61"/>
      <c r="B6" s="75"/>
      <c r="C6" s="75"/>
      <c r="D6" s="75"/>
      <c r="E6" s="64" t="s">
        <v>7</v>
      </c>
      <c r="F6" s="98" t="str">
        <f>Units</f>
        <v>US CUSTOMARY</v>
      </c>
      <c r="G6" s="76"/>
    </row>
    <row r="7" spans="1:7" ht="14.25" thickTop="1" thickBot="1" x14ac:dyDescent="0.25">
      <c r="A7" s="70"/>
      <c r="B7" s="70"/>
      <c r="C7" s="72"/>
      <c r="D7" s="73"/>
      <c r="E7" s="64"/>
      <c r="F7" s="63"/>
    </row>
    <row r="8" spans="1:7" ht="18.75" thickBot="1" x14ac:dyDescent="0.25">
      <c r="A8" s="208" t="s">
        <v>9</v>
      </c>
      <c r="B8" s="208"/>
      <c r="C8" s="208"/>
      <c r="D8" s="208"/>
      <c r="E8" s="208"/>
      <c r="F8" s="208"/>
      <c r="G8" s="84"/>
    </row>
    <row r="9" spans="1:7" ht="26.25" thickBot="1" x14ac:dyDescent="0.25">
      <c r="A9" s="94" t="s">
        <v>93</v>
      </c>
      <c r="B9" s="8" t="s">
        <v>10</v>
      </c>
      <c r="C9" s="95" t="str">
        <f>"Quantity"&amp;CHAR(10)&amp;IF(Units="US CUSTOMARY"," (Ton or SY)"," (tonnes or m2)")</f>
        <v>Quantity
 (Ton or SY)</v>
      </c>
      <c r="D9" s="9" t="s">
        <v>11</v>
      </c>
      <c r="E9" s="95" t="str">
        <f>"Q_"&amp;IF(Units="US CUSTOMARY","Ton","t")&amp;CHAR(10)&amp;"Unit Price"</f>
        <v>Q_Ton
Unit Price</v>
      </c>
      <c r="F9" s="9" t="s">
        <v>12</v>
      </c>
    </row>
    <row r="10" spans="1:7" ht="19.5" thickTop="1" thickBot="1" x14ac:dyDescent="0.25">
      <c r="A10" s="122">
        <f>IF(ISBLANK(Schedule1!A10),"",Schedule1!A10)</f>
        <v>301</v>
      </c>
      <c r="B10" s="56" t="str">
        <f>IF(ISBLANK(Schedule1!B10),"",Schedule1!B10)</f>
        <v>Untreated Aggregate Courses</v>
      </c>
      <c r="C10" s="78"/>
      <c r="D10" s="85"/>
      <c r="E10" s="87">
        <f t="shared" ref="E10:E16" si="0">ROUND(D10*Materials1,2)</f>
        <v>0</v>
      </c>
      <c r="F10" s="87">
        <f>C10*E10</f>
        <v>0</v>
      </c>
      <c r="G10" s="76"/>
    </row>
    <row r="11" spans="1:7" ht="19.5" thickTop="1" thickBot="1" x14ac:dyDescent="0.25">
      <c r="A11" s="122" t="str">
        <f>IF(ISBLANK(Schedule1!A11),"",Schedule1!A11)</f>
        <v>309</v>
      </c>
      <c r="B11" s="56" t="str">
        <f>IF(ISBLANK(Schedule1!B11),"",Schedule1!B11)</f>
        <v>Emulsified Asphalt-Treated Base Course</v>
      </c>
      <c r="C11" s="80"/>
      <c r="D11" s="88"/>
      <c r="E11" s="87">
        <f t="shared" si="0"/>
        <v>0</v>
      </c>
      <c r="F11" s="87">
        <f t="shared" ref="F11:F16" si="1">C11*E11</f>
        <v>0</v>
      </c>
      <c r="G11" s="76"/>
    </row>
    <row r="12" spans="1:7" ht="19.5" thickTop="1" thickBot="1" x14ac:dyDescent="0.25">
      <c r="A12" s="81">
        <f>IF(ISBLANK(Schedule1!A12),"",Schedule1!A12)</f>
        <v>311</v>
      </c>
      <c r="B12" s="56" t="str">
        <f>IF(ISBLANK(Schedule1!B12),"",Schedule1!B12)</f>
        <v>Stabilized Aggregate Surface Course</v>
      </c>
      <c r="C12" s="80"/>
      <c r="D12" s="88"/>
      <c r="E12" s="87">
        <f t="shared" si="0"/>
        <v>0</v>
      </c>
      <c r="F12" s="87">
        <f t="shared" si="1"/>
        <v>0</v>
      </c>
      <c r="G12" s="76"/>
    </row>
    <row r="13" spans="1:7" ht="19.5" thickTop="1" thickBot="1" x14ac:dyDescent="0.25">
      <c r="A13" s="122">
        <f>IF(ISBLANK(Schedule1!A13),"",Schedule1!A13)</f>
        <v>405</v>
      </c>
      <c r="B13" s="56" t="str">
        <f>IF(ISBLANK(Schedule1!B13),"",Schedule1!B13)</f>
        <v>Open-Graded Asphalt Friction Course</v>
      </c>
      <c r="C13" s="80"/>
      <c r="D13" s="88"/>
      <c r="E13" s="87">
        <f t="shared" si="0"/>
        <v>0</v>
      </c>
      <c r="F13" s="87">
        <f t="shared" si="1"/>
        <v>0</v>
      </c>
      <c r="G13" s="76"/>
    </row>
    <row r="14" spans="1:7" ht="19.5" thickTop="1" thickBot="1" x14ac:dyDescent="0.25">
      <c r="A14" s="122">
        <f>IF(ISBLANK(Schedule1!A14),"",Schedule1!A14)</f>
        <v>407</v>
      </c>
      <c r="B14" s="56" t="str">
        <f>IF(ISBLANK(Schedule1!B14),"",Schedule1!B14)</f>
        <v>Chip Seal</v>
      </c>
      <c r="C14" s="80"/>
      <c r="D14" s="88"/>
      <c r="E14" s="87">
        <f t="shared" si="0"/>
        <v>0</v>
      </c>
      <c r="F14" s="87">
        <f t="shared" si="1"/>
        <v>0</v>
      </c>
      <c r="G14" s="76"/>
    </row>
    <row r="15" spans="1:7" ht="19.5" thickTop="1" thickBot="1" x14ac:dyDescent="0.25">
      <c r="A15" s="123" t="str">
        <f>IF(ISBLANK(Schedule1!A15),"",Schedule1!A15)</f>
        <v>-</v>
      </c>
      <c r="B15" s="56" t="str">
        <f>IF(ISBLANK(Schedule1!B15),"",Schedule1!B15)</f>
        <v/>
      </c>
      <c r="C15" s="82"/>
      <c r="D15" s="89"/>
      <c r="E15" s="87">
        <f t="shared" si="0"/>
        <v>0</v>
      </c>
      <c r="F15" s="87">
        <f t="shared" si="1"/>
        <v>0</v>
      </c>
      <c r="G15" s="76"/>
    </row>
    <row r="16" spans="1:7" ht="18.75" thickTop="1" x14ac:dyDescent="0.2">
      <c r="A16" s="123" t="str">
        <f>IF(ISBLANK(Schedule1!A16),"",Schedule1!A16)</f>
        <v>-</v>
      </c>
      <c r="B16" s="56" t="str">
        <f>IF(ISBLANK(Schedule1!B16),"",Schedule1!B16)</f>
        <v/>
      </c>
      <c r="C16" s="82"/>
      <c r="D16" s="89"/>
      <c r="E16" s="87">
        <f t="shared" si="0"/>
        <v>0</v>
      </c>
      <c r="F16" s="87">
        <f t="shared" si="1"/>
        <v>0</v>
      </c>
      <c r="G16" s="76"/>
    </row>
    <row r="17" spans="1:7" ht="13.5" thickBot="1" x14ac:dyDescent="0.25">
      <c r="A17" s="122"/>
      <c r="B17" s="56"/>
      <c r="C17" s="83"/>
      <c r="D17" s="90"/>
      <c r="E17" s="87"/>
      <c r="F17" s="87"/>
    </row>
    <row r="18" spans="1:7" ht="18.75" thickBot="1" x14ac:dyDescent="0.25">
      <c r="A18" s="205" t="s">
        <v>13</v>
      </c>
      <c r="B18" s="205"/>
      <c r="C18" s="205"/>
      <c r="D18" s="205"/>
      <c r="E18" s="205"/>
      <c r="F18" s="205"/>
      <c r="G18" s="84"/>
    </row>
    <row r="19" spans="1:7" ht="26.25" thickBot="1" x14ac:dyDescent="0.25">
      <c r="A19" s="94" t="s">
        <v>93</v>
      </c>
      <c r="B19" s="8" t="s">
        <v>10</v>
      </c>
      <c r="C19" s="95" t="str">
        <f>"Quantity"&amp;CHAR(10)&amp;IF(Units="US CUSTOMARY"," (Ton or SY)"," (tonnes or m2)")</f>
        <v>Quantity
 (Ton or SY)</v>
      </c>
      <c r="D19" s="9" t="s">
        <v>11</v>
      </c>
      <c r="E19" s="95" t="str">
        <f>"Q_"&amp;IF(Units="US CUSTOMARY","Ton","t")&amp;CHAR(10)&amp;"Unit Price"</f>
        <v>Q_Ton
Unit Price</v>
      </c>
      <c r="F19" s="9" t="s">
        <v>12</v>
      </c>
    </row>
    <row r="20" spans="1:7" ht="19.5" thickTop="1" thickBot="1" x14ac:dyDescent="0.25">
      <c r="A20" s="122" t="str">
        <f>IF(ISBLANK(Schedule1!A20),"",Schedule1!A20)</f>
        <v>401</v>
      </c>
      <c r="B20" s="56" t="str">
        <f>IF(ISBLANK(Schedule1!B20),"",Schedule1!B20)</f>
        <v>ACP by Gyratory Mix Design</v>
      </c>
      <c r="C20" s="78"/>
      <c r="D20" s="85"/>
      <c r="E20" s="87">
        <f>ROUND(D20*Materials2,2)</f>
        <v>0</v>
      </c>
      <c r="F20" s="87">
        <f>C20*E20</f>
        <v>0</v>
      </c>
      <c r="G20" s="76"/>
    </row>
    <row r="21" spans="1:7" ht="19.5" thickTop="1" thickBot="1" x14ac:dyDescent="0.25">
      <c r="A21" s="122" t="str">
        <f>IF(ISBLANK(Schedule1!A21),"",Schedule1!A21)</f>
        <v>-</v>
      </c>
      <c r="B21" s="122" t="str">
        <f>IF(ISBLANK(Schedule1!B21),"",Schedule1!B21)</f>
        <v/>
      </c>
      <c r="C21" s="80"/>
      <c r="D21" s="88"/>
      <c r="E21" s="87">
        <f>ROUND(D21*Materials2,2)</f>
        <v>0</v>
      </c>
      <c r="F21" s="87">
        <f t="shared" ref="F21:F23" si="2">C21*E21</f>
        <v>0</v>
      </c>
      <c r="G21" s="76"/>
    </row>
    <row r="22" spans="1:7" ht="19.5" thickTop="1" thickBot="1" x14ac:dyDescent="0.25">
      <c r="A22" s="122" t="str">
        <f>IF(ISBLANK(Schedule1!A22),"",Schedule1!A22)</f>
        <v>-</v>
      </c>
      <c r="B22" s="56" t="str">
        <f>IF(ISBLANK(Schedule1!B22),"",Schedule1!B22)</f>
        <v/>
      </c>
      <c r="C22" s="80"/>
      <c r="D22" s="88"/>
      <c r="E22" s="87">
        <f>ROUND(D22*Materials2,2)</f>
        <v>0</v>
      </c>
      <c r="F22" s="87">
        <f t="shared" si="2"/>
        <v>0</v>
      </c>
      <c r="G22" s="76"/>
    </row>
    <row r="23" spans="1:7" ht="19.5" thickTop="1" thickBot="1" x14ac:dyDescent="0.25">
      <c r="A23" s="122" t="str">
        <f>IF(ISBLANK(Schedule1!A23),"",Schedule1!A23)</f>
        <v/>
      </c>
      <c r="B23" s="56" t="str">
        <f>IF(ISBLANK(Schedule1!B23),"",Schedule1!B23)</f>
        <v/>
      </c>
      <c r="C23" s="80"/>
      <c r="D23" s="88"/>
      <c r="E23" s="87">
        <f>ROUND(D23*Materials2,2)</f>
        <v>0</v>
      </c>
      <c r="F23" s="87">
        <f t="shared" si="2"/>
        <v>0</v>
      </c>
      <c r="G23" s="76"/>
    </row>
    <row r="24" spans="1:7" ht="15" customHeight="1" thickTop="1" thickBot="1" x14ac:dyDescent="0.25">
      <c r="A24" s="10"/>
      <c r="B24" s="11"/>
      <c r="C24" s="47"/>
      <c r="D24" s="48"/>
      <c r="E24" s="13"/>
      <c r="F24" s="13"/>
    </row>
    <row r="25" spans="1:7" ht="18.75" thickBot="1" x14ac:dyDescent="0.25">
      <c r="A25" s="205" t="s">
        <v>14</v>
      </c>
      <c r="B25" s="205"/>
      <c r="C25" s="205"/>
      <c r="D25" s="205"/>
      <c r="E25" s="205"/>
      <c r="F25" s="205"/>
      <c r="G25" s="84"/>
    </row>
    <row r="26" spans="1:7" ht="26.25" thickBot="1" x14ac:dyDescent="0.25">
      <c r="A26" s="94" t="s">
        <v>93</v>
      </c>
      <c r="B26" s="8" t="s">
        <v>10</v>
      </c>
      <c r="C26" s="95" t="str">
        <f>"Quantity"&amp;CHAR(10)&amp;IF(Units="US CUSTOMARY"," (Ton or SY)"," (tonnes or m2)")</f>
        <v>Quantity
 (Ton or SY)</v>
      </c>
      <c r="D26" s="9" t="s">
        <v>11</v>
      </c>
      <c r="E26" s="95" t="str">
        <f>"Q_"&amp;IF(Units="US CUSTOMARY","Ton","t")&amp;CHAR(10)&amp;"Unit Price"</f>
        <v>Q_Ton
Unit Price</v>
      </c>
      <c r="F26" s="9" t="s">
        <v>12</v>
      </c>
    </row>
    <row r="27" spans="1:7" ht="19.5" thickTop="1" thickBot="1" x14ac:dyDescent="0.25">
      <c r="A27" s="122" t="str">
        <f>IF(ISBLANK(Schedule1!A27),"",Schedule1!A27)</f>
        <v xml:space="preserve"> -</v>
      </c>
      <c r="B27" s="56" t="str">
        <f>IF(ISBLANK(Schedule1!B27),"",Schedule1!B27)</f>
        <v xml:space="preserve">                      -</v>
      </c>
      <c r="C27" s="78"/>
      <c r="D27" s="85"/>
      <c r="E27" s="87">
        <f>ROUND(D27*Materials3,2)</f>
        <v>0</v>
      </c>
      <c r="F27" s="87">
        <f>C27*E27</f>
        <v>0</v>
      </c>
      <c r="G27" s="76"/>
    </row>
    <row r="28" spans="1:7" ht="19.5" thickTop="1" thickBot="1" x14ac:dyDescent="0.25">
      <c r="A28" s="122" t="str">
        <f>IF(ISBLANK(Schedule1!A28),"",Schedule1!A28)</f>
        <v>-</v>
      </c>
      <c r="B28" s="56" t="str">
        <f>IF(ISBLANK(Schedule1!B28),"",Schedule1!B28)</f>
        <v/>
      </c>
      <c r="C28" s="80"/>
      <c r="D28" s="88"/>
      <c r="E28" s="87">
        <f>ROUND(D28*Materials3,2)</f>
        <v>0</v>
      </c>
      <c r="F28" s="87">
        <f>C28*E28</f>
        <v>0</v>
      </c>
      <c r="G28" s="76"/>
    </row>
    <row r="29" spans="1:7" ht="19.5" thickTop="1" thickBot="1" x14ac:dyDescent="0.25">
      <c r="A29" s="122" t="str">
        <f>IF(ISBLANK(Schedule1!A29),"",Schedule1!A29)</f>
        <v>-</v>
      </c>
      <c r="B29" s="56" t="str">
        <f>IF(ISBLANK(Schedule1!B29),"",Schedule1!B29)</f>
        <v/>
      </c>
      <c r="C29" s="80"/>
      <c r="D29" s="88"/>
      <c r="E29" s="87">
        <f>ROUND(D29*Materials3,2)</f>
        <v>0</v>
      </c>
      <c r="F29" s="87">
        <f>C29*E29</f>
        <v>0</v>
      </c>
      <c r="G29" s="76"/>
    </row>
    <row r="30" spans="1:7" ht="13.5" thickTop="1" x14ac:dyDescent="0.2">
      <c r="A30" s="10"/>
      <c r="B30" s="11"/>
      <c r="C30" s="12"/>
      <c r="D30" s="14"/>
      <c r="E30" s="13"/>
      <c r="F30" s="13"/>
    </row>
    <row r="31" spans="1:7" x14ac:dyDescent="0.2">
      <c r="A31" s="2"/>
      <c r="B31" s="2"/>
      <c r="C31" s="3"/>
      <c r="D31" s="4"/>
      <c r="E31" s="4"/>
      <c r="F31" s="4"/>
    </row>
    <row r="32" spans="1:7" x14ac:dyDescent="0.2">
      <c r="A32" s="211" t="s">
        <v>95</v>
      </c>
      <c r="B32" s="211"/>
      <c r="C32" s="211"/>
      <c r="D32" s="211"/>
      <c r="E32" s="211"/>
      <c r="F32" s="109">
        <f>SUM(F10:F16,F20:F23,F27:F29)</f>
        <v>0</v>
      </c>
    </row>
    <row r="33" spans="1:7" ht="13.5" thickBot="1" x14ac:dyDescent="0.25">
      <c r="A33" s="15"/>
      <c r="B33" s="15"/>
      <c r="C33" s="15"/>
      <c r="D33" s="15"/>
      <c r="E33" s="15"/>
      <c r="F33" s="16"/>
    </row>
    <row r="34" spans="1:7" ht="18.75" thickBot="1" x14ac:dyDescent="0.25">
      <c r="A34" s="210" t="s">
        <v>15</v>
      </c>
      <c r="B34" s="210"/>
      <c r="C34" s="210"/>
      <c r="D34" s="210"/>
      <c r="E34" s="210"/>
      <c r="F34" s="210"/>
    </row>
    <row r="35" spans="1:7" ht="26.25" thickBot="1" x14ac:dyDescent="0.25">
      <c r="A35" s="94" t="s">
        <v>93</v>
      </c>
      <c r="B35" s="8" t="s">
        <v>10</v>
      </c>
      <c r="C35" s="97" t="str">
        <f>"Project"&amp;CHAR(10)&amp;"Lane-"&amp;IF(Units="US CUSTOMARY","miles","kilometers")</f>
        <v>Project
Lane-miles</v>
      </c>
      <c r="D35" s="9"/>
      <c r="E35" s="9"/>
      <c r="F35" s="9" t="s">
        <v>12</v>
      </c>
    </row>
    <row r="36" spans="1:7" ht="19.5" thickTop="1" thickBot="1" x14ac:dyDescent="0.25">
      <c r="A36" s="122">
        <f>IF(ISBLANK(Schedule1!A36),"",Schedule1!A36)</f>
        <v>401</v>
      </c>
      <c r="B36" s="70" t="str">
        <f>IF(ISBLANK(Schedule1!B36),"",Schedule1!B36)</f>
        <v>ACP by Gyratory Mix Design</v>
      </c>
      <c r="C36" s="78"/>
      <c r="D36" s="79"/>
      <c r="E36" s="79"/>
      <c r="F36" s="87">
        <f>C36*IF(Units="US CUSTOMARY",100000,62200)*Rough</f>
        <v>0</v>
      </c>
      <c r="G36" s="76"/>
    </row>
    <row r="37" spans="1:7" ht="19.5" thickTop="1" thickBot="1" x14ac:dyDescent="0.25">
      <c r="A37" s="122" t="str">
        <f>IF(ISBLANK(Schedule1!A37),"",Schedule1!A37)</f>
        <v>-</v>
      </c>
      <c r="B37" s="70" t="str">
        <f>IF(ISBLANK(Schedule1!B37),"",Schedule1!B37)</f>
        <v/>
      </c>
      <c r="C37" s="80"/>
      <c r="D37" s="79"/>
      <c r="E37" s="79"/>
      <c r="F37" s="87">
        <f>C37*IF(Units="US CUSTOMARY",100000,62200)*Rough</f>
        <v>0</v>
      </c>
      <c r="G37" s="76"/>
    </row>
    <row r="38" spans="1:7" ht="19.5" thickTop="1" thickBot="1" x14ac:dyDescent="0.25">
      <c r="A38" s="122" t="str">
        <f>IF(ISBLANK(Schedule1!A38),"",Schedule1!A38)</f>
        <v>-</v>
      </c>
      <c r="B38" s="122" t="str">
        <f>IF(ISBLANK(Schedule1!B38),"",Schedule1!B38)</f>
        <v/>
      </c>
      <c r="C38" s="80"/>
      <c r="D38" s="79"/>
      <c r="E38" s="79"/>
      <c r="F38" s="87">
        <f>C38*IF(Units="US CUSTOMARY",100000,62200)*Rough</f>
        <v>0</v>
      </c>
      <c r="G38" s="76"/>
    </row>
    <row r="39" spans="1:7" ht="13.5" thickTop="1" x14ac:dyDescent="0.2">
      <c r="A39" s="10"/>
      <c r="B39" s="2"/>
      <c r="C39" s="17"/>
      <c r="D39" s="13"/>
      <c r="E39" s="13"/>
      <c r="F39" s="13"/>
    </row>
    <row r="40" spans="1:7" x14ac:dyDescent="0.2">
      <c r="A40" s="2"/>
      <c r="B40" s="2"/>
      <c r="C40" s="3"/>
      <c r="D40" s="4"/>
      <c r="E40" s="4"/>
      <c r="F40" s="4"/>
    </row>
    <row r="41" spans="1:7" x14ac:dyDescent="0.2">
      <c r="A41" s="211" t="s">
        <v>96</v>
      </c>
      <c r="B41" s="211"/>
      <c r="C41" s="211"/>
      <c r="D41" s="211"/>
      <c r="E41" s="211"/>
      <c r="F41" s="109">
        <f>SUM(F36:F38)</f>
        <v>0</v>
      </c>
    </row>
    <row r="42" spans="1:7" x14ac:dyDescent="0.15">
      <c r="A42" s="2"/>
      <c r="B42" s="2"/>
      <c r="C42" s="3"/>
      <c r="D42" s="4"/>
      <c r="E42" s="18"/>
      <c r="F42" s="19"/>
    </row>
    <row r="43" spans="1:7" ht="22.5" x14ac:dyDescent="0.15">
      <c r="A43" s="91" t="str">
        <f>IF(ISBLANK(Schedule1!A43),"",Schedule1!A43)</f>
        <v xml:space="preserve">Note 1: </v>
      </c>
      <c r="B43" s="92" t="str">
        <f>IF(ISBLANK(Schedule1!B43),"",Schedule1!B43)</f>
        <v>Q_t Unit Price = (Unit Price x 0.05)
Incentive Amt = (Quantity x Q_t Unit Price)</v>
      </c>
      <c r="C43" s="3"/>
      <c r="D43" s="4"/>
      <c r="E43" s="18"/>
      <c r="F43" s="19"/>
    </row>
    <row r="44" spans="1:7" x14ac:dyDescent="0.15">
      <c r="A44" s="22" t="str">
        <f>IF(ISBLANK(Schedule1!A44),"",Schedule1!A44)</f>
        <v/>
      </c>
      <c r="B44" s="22" t="str">
        <f>IF(ISBLANK(Schedule1!B44),"",Schedule1!B44)</f>
        <v/>
      </c>
      <c r="C44" s="3"/>
      <c r="D44" s="4"/>
      <c r="E44" s="18"/>
      <c r="F44" s="19"/>
    </row>
    <row r="45" spans="1:7" ht="22.5" x14ac:dyDescent="0.2">
      <c r="A45" s="91" t="str">
        <f>IF(ISBLANK(Schedule1!A45),"",Schedule1!A45)</f>
        <v xml:space="preserve">Note 2: </v>
      </c>
      <c r="B45" s="92" t="str">
        <f>IF(ISBLANK(Schedule1!B45),"",Schedule1!B45)</f>
        <v>Q_t Unit Price = (Unit Price x 0.06)
Incentive Amt = (Quantity x Q_t Unit Price)</v>
      </c>
      <c r="C45" s="3"/>
      <c r="D45" s="4"/>
      <c r="E45" s="4"/>
      <c r="F45" s="4"/>
    </row>
    <row r="46" spans="1:7" x14ac:dyDescent="0.2">
      <c r="A46" s="2" t="str">
        <f>IF(ISBLANK(Schedule1!A46),"",Schedule1!A46)</f>
        <v/>
      </c>
      <c r="B46" s="2" t="str">
        <f>IF(ISBLANK(Schedule1!B46),"",Schedule1!B46)</f>
        <v/>
      </c>
      <c r="C46" s="3"/>
      <c r="D46" s="4"/>
      <c r="E46" s="4"/>
      <c r="F46" s="4"/>
    </row>
    <row r="47" spans="1:7" ht="22.5" x14ac:dyDescent="0.2">
      <c r="A47" s="91" t="str">
        <f>IF(ISBLANK(Schedule1!A47),"",Schedule1!A47)</f>
        <v xml:space="preserve">Note 3: </v>
      </c>
      <c r="B47" s="92" t="str">
        <f>IF(ISBLANK(Schedule1!B47),"",Schedule1!B47)</f>
        <v>Q_t Unit Price = (Unit Price x 0.01)
Incentive Amt = (Quantity x Q_t Unit Price)</v>
      </c>
      <c r="C47" s="3"/>
      <c r="D47" s="4"/>
      <c r="E47" s="4"/>
      <c r="F47" s="4"/>
    </row>
    <row r="48" spans="1:7" x14ac:dyDescent="0.2">
      <c r="A48" s="22" t="str">
        <f>IF(ISBLANK(Schedule1!A48),"",Schedule1!A48)</f>
        <v/>
      </c>
      <c r="B48" s="22" t="str">
        <f>IF(ISBLANK(Schedule1!B48),"",Schedule1!B48)</f>
        <v/>
      </c>
      <c r="C48" s="3"/>
      <c r="D48" s="4"/>
      <c r="E48" s="4"/>
      <c r="F48" s="4"/>
    </row>
    <row r="49" spans="1:7" x14ac:dyDescent="0.2">
      <c r="A49" s="93" t="str">
        <f>IF(ISBLANK(Schedule1!A49),"",Schedule1!A49)</f>
        <v xml:space="preserve">Note 4: </v>
      </c>
      <c r="B49" s="153" t="str">
        <f>IF(ISBLANK(Schedule1!B49),"",Schedule1!B49)</f>
        <v>Incentive Amt = (Lane-miles x 100,000 x 0.05)</v>
      </c>
      <c r="C49" s="3"/>
      <c r="D49" s="4"/>
      <c r="E49" s="4"/>
      <c r="F49" s="4"/>
      <c r="G49" s="84"/>
    </row>
    <row r="50" spans="1:7" x14ac:dyDescent="0.2">
      <c r="A50" s="2"/>
      <c r="B50" s="2"/>
      <c r="C50" s="3"/>
      <c r="D50" s="4"/>
      <c r="E50" s="4"/>
      <c r="F50" s="4"/>
    </row>
    <row r="51" spans="1:7" x14ac:dyDescent="0.2">
      <c r="A51" s="2"/>
      <c r="B51" s="2"/>
      <c r="C51" s="3"/>
      <c r="D51" s="4"/>
      <c r="E51" s="4"/>
      <c r="F51" s="4"/>
    </row>
    <row r="52" spans="1:7" ht="18" customHeight="1" thickBot="1" x14ac:dyDescent="0.3">
      <c r="A52" s="200" t="s">
        <v>78</v>
      </c>
      <c r="B52" s="200"/>
      <c r="C52" s="200"/>
      <c r="D52" s="200"/>
      <c r="E52" s="200"/>
      <c r="F52" s="200"/>
    </row>
    <row r="53" spans="1:7" ht="14.25" thickTop="1" thickBot="1" x14ac:dyDescent="0.25">
      <c r="A53" s="70"/>
      <c r="B53" s="96" t="s">
        <v>94</v>
      </c>
      <c r="C53" s="98" t="str">
        <f>FP</f>
        <v>FP-14</v>
      </c>
      <c r="D53" s="73"/>
      <c r="E53" s="73"/>
      <c r="F53" s="73"/>
    </row>
    <row r="54" spans="1:7" ht="19.5" thickTop="1" thickBot="1" x14ac:dyDescent="0.25">
      <c r="A54" s="70"/>
      <c r="B54" s="70"/>
      <c r="C54" s="74"/>
      <c r="D54" s="73"/>
      <c r="E54" s="64" t="s">
        <v>1</v>
      </c>
      <c r="F54" s="65">
        <f ca="1">Date</f>
        <v>45469</v>
      </c>
      <c r="G54" s="76"/>
    </row>
    <row r="55" spans="1:7" ht="19.5" thickTop="1" thickBot="1" x14ac:dyDescent="0.25">
      <c r="A55" s="61" t="s">
        <v>0</v>
      </c>
      <c r="B55" s="120" t="str">
        <f>ProjNum</f>
        <v>WA WFL Test(1)</v>
      </c>
      <c r="C55" s="99"/>
      <c r="D55" s="100"/>
      <c r="E55" s="66" t="s">
        <v>3</v>
      </c>
      <c r="F55" s="98" t="str">
        <f>SchedType</f>
        <v>Option</v>
      </c>
      <c r="G55" s="76"/>
    </row>
    <row r="56" spans="1:7" ht="19.5" thickTop="1" thickBot="1" x14ac:dyDescent="0.25">
      <c r="A56" s="61" t="s">
        <v>2</v>
      </c>
      <c r="B56" s="201" t="str">
        <f>ProjName</f>
        <v>Wafflehead Park Road</v>
      </c>
      <c r="C56" s="201"/>
      <c r="D56" s="201"/>
      <c r="E56" s="66" t="s">
        <v>5</v>
      </c>
      <c r="F56" s="98" t="str">
        <f>SchedLet</f>
        <v>Z</v>
      </c>
      <c r="G56" s="76"/>
    </row>
    <row r="57" spans="1:7" ht="19.5" thickTop="1" thickBot="1" x14ac:dyDescent="0.25">
      <c r="A57" s="61"/>
      <c r="B57" s="75"/>
      <c r="C57" s="75"/>
      <c r="D57" s="75"/>
      <c r="E57" s="64" t="s">
        <v>7</v>
      </c>
      <c r="F57" s="98" t="str">
        <f>Units</f>
        <v>US CUSTOMARY</v>
      </c>
      <c r="G57" s="76"/>
    </row>
    <row r="58" spans="1:7" ht="14.25" thickTop="1" thickBot="1" x14ac:dyDescent="0.25">
      <c r="A58" s="2"/>
      <c r="B58" s="2"/>
      <c r="C58" s="3"/>
      <c r="D58" s="4"/>
      <c r="E58" s="6"/>
      <c r="F58" s="5"/>
    </row>
    <row r="59" spans="1:7" ht="18.75" thickBot="1" x14ac:dyDescent="0.25">
      <c r="A59" s="41" t="s">
        <v>20</v>
      </c>
      <c r="B59" s="42"/>
      <c r="C59" s="42"/>
      <c r="D59" s="42"/>
      <c r="E59" s="42"/>
      <c r="F59" s="43"/>
      <c r="G59" s="76"/>
    </row>
    <row r="60" spans="1:7" x14ac:dyDescent="0.2">
      <c r="A60" s="7"/>
      <c r="B60" s="23"/>
      <c r="C60" s="24"/>
      <c r="D60" s="24"/>
      <c r="E60" s="24"/>
      <c r="F60" s="24"/>
    </row>
    <row r="61" spans="1:7" x14ac:dyDescent="0.2">
      <c r="A61" s="135" t="str">
        <f>IF(ISBLANK(Schedule1!A61),"",Schedule1!A61)</f>
        <v>Section 204 –</v>
      </c>
      <c r="B61" s="136" t="str">
        <f>IF(ISBLANK(Schedule1!B61),"",Schedule1!B61)</f>
        <v>Excavation and Embankment</v>
      </c>
      <c r="C61" s="137" t="s">
        <v>21</v>
      </c>
      <c r="D61" s="138" t="str">
        <f>IF(Units="US CUSTOMARY"," CUYD"," m3")</f>
        <v xml:space="preserve"> CUYD</v>
      </c>
      <c r="E61" s="139" t="s">
        <v>22</v>
      </c>
      <c r="F61" s="24"/>
    </row>
    <row r="62" spans="1:7" x14ac:dyDescent="0.2">
      <c r="A62" s="130">
        <f>IF(ISBLANK(Schedule1!A62),"",Schedule1!A62)</f>
        <v>20401</v>
      </c>
      <c r="B62" s="131" t="str">
        <f>IF(ISBLANK(Schedule1!B62),"",Schedule1!B62)</f>
        <v>Roadway exacation</v>
      </c>
      <c r="C62" s="209">
        <f>Fuel204a</f>
        <v>0.3</v>
      </c>
      <c r="D62" s="196"/>
      <c r="E62" s="129" t="str">
        <f>IF(ISNUMBER(D62),+C$62*D62, "-")</f>
        <v>-</v>
      </c>
      <c r="F62" s="13"/>
    </row>
    <row r="63" spans="1:7" x14ac:dyDescent="0.2">
      <c r="A63" s="130">
        <f>IF(ISBLANK(Schedule1!A63),"",Schedule1!A63)</f>
        <v>20402</v>
      </c>
      <c r="B63" s="131" t="str">
        <f>IF(ISBLANK(Schedule1!B63),"",Schedule1!B63)</f>
        <v>Subexacation</v>
      </c>
      <c r="C63" s="209"/>
      <c r="D63" s="196"/>
      <c r="E63" s="129" t="str">
        <f>IF(ISNUMBER(D63),+C$62*D63, "-")</f>
        <v>-</v>
      </c>
      <c r="F63" s="13"/>
    </row>
    <row r="64" spans="1:7" x14ac:dyDescent="0.2">
      <c r="A64" s="130">
        <f>IF(ISBLANK(Schedule1!A64),"",Schedule1!A64)</f>
        <v>20403</v>
      </c>
      <c r="B64" s="131" t="str">
        <f>IF(ISBLANK(Schedule1!B64),"",Schedule1!B64)</f>
        <v>Unclassified borrow</v>
      </c>
      <c r="C64" s="209"/>
      <c r="D64" s="196"/>
      <c r="E64" s="129" t="str">
        <f>IF(ISNUMBER(D64),+C$62*D64, "-")</f>
        <v>-</v>
      </c>
      <c r="F64" s="13"/>
    </row>
    <row r="65" spans="1:6" x14ac:dyDescent="0.2">
      <c r="A65" s="130">
        <f>IF(ISBLANK(Schedule1!A65),"",Schedule1!A65)</f>
        <v>20420</v>
      </c>
      <c r="B65" s="131" t="str">
        <f>IF(ISBLANK(Schedule1!B65),"",Schedule1!B65)</f>
        <v>Embankment construction</v>
      </c>
      <c r="C65" s="209"/>
      <c r="D65" s="196"/>
      <c r="E65" s="129" t="str">
        <f>IF(ISNUMBER(D65),+C$62*D65, "-")</f>
        <v>-</v>
      </c>
      <c r="F65" s="13"/>
    </row>
    <row r="66" spans="1:6" x14ac:dyDescent="0.2">
      <c r="A66" s="130">
        <f>IF(ISBLANK(Schedule1!A66),"",Schedule1!A66)</f>
        <v>20421</v>
      </c>
      <c r="B66" s="131" t="str">
        <f>IF(ISBLANK(Schedule1!B66),"",Schedule1!B66)</f>
        <v>Rock excavation</v>
      </c>
      <c r="C66" s="209"/>
      <c r="D66" s="196"/>
      <c r="E66" s="129" t="str">
        <f>IF(ISNUMBER(D66),+C$62*D66, "-")</f>
        <v>-</v>
      </c>
      <c r="F66" s="13"/>
    </row>
    <row r="67" spans="1:6" x14ac:dyDescent="0.2">
      <c r="A67" s="135" t="str">
        <f>IF(ISBLANK(Schedule1!A67),"",Schedule1!A67)</f>
        <v>Section 204 –</v>
      </c>
      <c r="B67" s="136" t="str">
        <f>IF(ISBLANK(Schedule1!B67),"",Schedule1!B67)</f>
        <v>Excavation and Embankment</v>
      </c>
      <c r="C67" s="137" t="s">
        <v>21</v>
      </c>
      <c r="D67" s="138" t="str">
        <f>IF(Units="US CUSTOMARY"," Tons"," tonnes")</f>
        <v xml:space="preserve"> Tons</v>
      </c>
      <c r="E67" s="139" t="s">
        <v>22</v>
      </c>
      <c r="F67" s="24"/>
    </row>
    <row r="68" spans="1:6" x14ac:dyDescent="0.2">
      <c r="A68" s="130">
        <f>IF(ISBLANK(Schedule1!A68),"",Schedule1!A68)</f>
        <v>20410</v>
      </c>
      <c r="B68" s="131" t="str">
        <f>IF(ISBLANK(Schedule1!B68),"",Schedule1!B68)</f>
        <v>Select borrow*</v>
      </c>
      <c r="C68" s="209">
        <f>Fuel204b</f>
        <v>0.7</v>
      </c>
      <c r="D68" s="196"/>
      <c r="E68" s="129" t="str">
        <f>IF(ISNUMBER(D68),+C$68*D68, "-")</f>
        <v>-</v>
      </c>
      <c r="F68" s="13"/>
    </row>
    <row r="69" spans="1:6" x14ac:dyDescent="0.2">
      <c r="A69" s="130">
        <f>IF(ISBLANK(Schedule1!A69),"",Schedule1!A69)</f>
        <v>20411</v>
      </c>
      <c r="B69" s="131" t="str">
        <f>IF(ISBLANK(Schedule1!B69),"",Schedule1!B69)</f>
        <v>Select borrow</v>
      </c>
      <c r="C69" s="209"/>
      <c r="D69" s="196"/>
      <c r="E69" s="129" t="str">
        <f>IF(ISNUMBER(D69),+C$68*D69, "-")</f>
        <v>-</v>
      </c>
      <c r="F69" s="13"/>
    </row>
    <row r="70" spans="1:6" x14ac:dyDescent="0.2">
      <c r="A70" s="130" t="str">
        <f>IF(ISBLANK(Schedule1!A70),"",Schedule1!A70)</f>
        <v xml:space="preserve"> 20415</v>
      </c>
      <c r="B70" s="131" t="str">
        <f>IF(ISBLANK(Schedule1!B70),"",Schedule1!B70)</f>
        <v>Select topping*</v>
      </c>
      <c r="C70" s="209"/>
      <c r="D70" s="196"/>
      <c r="E70" s="129" t="str">
        <f>IF(ISNUMBER(D70),+C$68*D70, "-")</f>
        <v>-</v>
      </c>
      <c r="F70" s="13"/>
    </row>
    <row r="71" spans="1:6" x14ac:dyDescent="0.2">
      <c r="A71" s="130" t="str">
        <f>IF(ISBLANK(Schedule1!A71),"",Schedule1!A71)</f>
        <v xml:space="preserve"> 20416</v>
      </c>
      <c r="B71" s="131" t="str">
        <f>IF(ISBLANK(Schedule1!B71),"",Schedule1!B71)</f>
        <v>Select topping</v>
      </c>
      <c r="C71" s="209"/>
      <c r="D71" s="196"/>
      <c r="E71" s="129" t="str">
        <f>IF(ISNUMBER(D71),+C$68*D71, "-")</f>
        <v>-</v>
      </c>
      <c r="F71" s="13"/>
    </row>
    <row r="72" spans="1:6" x14ac:dyDescent="0.2">
      <c r="A72" s="135" t="str">
        <f>IF(ISBLANK(Schedule1!A72),"",Schedule1!A72)</f>
        <v>Section 301 –</v>
      </c>
      <c r="B72" s="136" t="str">
        <f>IF(ISBLANK(Schedule1!B72),"",Schedule1!B72)</f>
        <v>Untreated Aggregate Courses</v>
      </c>
      <c r="C72" s="137" t="s">
        <v>21</v>
      </c>
      <c r="D72" s="138" t="str">
        <f>IF(Units="US CUSTOMARY"," Tons"," tonnes")</f>
        <v xml:space="preserve"> Tons</v>
      </c>
      <c r="E72" s="139" t="s">
        <v>22</v>
      </c>
      <c r="F72" s="13"/>
    </row>
    <row r="73" spans="1:6" x14ac:dyDescent="0.2">
      <c r="A73" s="130">
        <f>IF(ISBLANK(Schedule1!A73),"",Schedule1!A73)</f>
        <v>30101</v>
      </c>
      <c r="B73" s="131" t="str">
        <f>IF(ISBLANK(Schedule1!B73),"",Schedule1!B73)</f>
        <v>Aggregate base</v>
      </c>
      <c r="C73" s="209">
        <f>Fuel301</f>
        <v>0.7</v>
      </c>
      <c r="D73" s="196"/>
      <c r="E73" s="129" t="str">
        <f t="shared" ref="E73:E80" si="3">IF(ISNUMBER(D73),+C$73*D73, "-")</f>
        <v>-</v>
      </c>
      <c r="F73" s="13"/>
    </row>
    <row r="74" spans="1:6" x14ac:dyDescent="0.2">
      <c r="A74" s="130">
        <f>IF(ISBLANK(Schedule1!A74),"",Schedule1!A74)</f>
        <v>30102</v>
      </c>
      <c r="B74" s="131" t="str">
        <f>IF(ISBLANK(Schedule1!B74),"",Schedule1!B74)</f>
        <v>Aggregate base*</v>
      </c>
      <c r="C74" s="209"/>
      <c r="D74" s="196"/>
      <c r="E74" s="129" t="str">
        <f t="shared" si="3"/>
        <v>-</v>
      </c>
      <c r="F74" s="13"/>
    </row>
    <row r="75" spans="1:6" x14ac:dyDescent="0.2">
      <c r="A75" s="130">
        <f>IF(ISBLANK(Schedule1!A75),"",Schedule1!A75)</f>
        <v>30103</v>
      </c>
      <c r="B75" s="131" t="str">
        <f>IF(ISBLANK(Schedule1!B75),"",Schedule1!B75)</f>
        <v>Aggregate base*</v>
      </c>
      <c r="C75" s="209"/>
      <c r="D75" s="196"/>
      <c r="E75" s="129" t="str">
        <f t="shared" si="3"/>
        <v>-</v>
      </c>
      <c r="F75" s="13"/>
    </row>
    <row r="76" spans="1:6" x14ac:dyDescent="0.2">
      <c r="A76" s="130">
        <f>IF(ISBLANK(Schedule1!A76),"",Schedule1!A76)</f>
        <v>30105</v>
      </c>
      <c r="B76" s="131" t="str">
        <f>IF(ISBLANK(Schedule1!B76),"",Schedule1!B76)</f>
        <v>Subbase</v>
      </c>
      <c r="C76" s="209"/>
      <c r="D76" s="196"/>
      <c r="E76" s="129" t="str">
        <f t="shared" si="3"/>
        <v>-</v>
      </c>
      <c r="F76" s="13"/>
    </row>
    <row r="77" spans="1:6" x14ac:dyDescent="0.2">
      <c r="A77" s="130">
        <f>IF(ISBLANK(Schedule1!A77),"",Schedule1!A77)</f>
        <v>30106</v>
      </c>
      <c r="B77" s="131" t="str">
        <f>IF(ISBLANK(Schedule1!B77),"",Schedule1!B77)</f>
        <v>Subbase*</v>
      </c>
      <c r="C77" s="209"/>
      <c r="D77" s="196"/>
      <c r="E77" s="129" t="str">
        <f t="shared" si="3"/>
        <v>-</v>
      </c>
      <c r="F77" s="13"/>
    </row>
    <row r="78" spans="1:6" x14ac:dyDescent="0.2">
      <c r="A78" s="130">
        <f>IF(ISBLANK(Schedule1!A78),"",Schedule1!A78)</f>
        <v>30107</v>
      </c>
      <c r="B78" s="131" t="str">
        <f>IF(ISBLANK(Schedule1!B78),"",Schedule1!B78)</f>
        <v>Subbase*</v>
      </c>
      <c r="C78" s="209"/>
      <c r="D78" s="196"/>
      <c r="E78" s="129" t="str">
        <f t="shared" si="3"/>
        <v>-</v>
      </c>
      <c r="F78" s="13"/>
    </row>
    <row r="79" spans="1:6" x14ac:dyDescent="0.2">
      <c r="A79" s="130">
        <f>IF(ISBLANK(Schedule1!A79),"",Schedule1!A79)</f>
        <v>30110</v>
      </c>
      <c r="B79" s="131" t="str">
        <f>IF(ISBLANK(Schedule1!B79),"",Schedule1!B79)</f>
        <v>Aggregate surface course</v>
      </c>
      <c r="C79" s="209"/>
      <c r="D79" s="196"/>
      <c r="E79" s="129" t="str">
        <f t="shared" si="3"/>
        <v>-</v>
      </c>
      <c r="F79" s="13"/>
    </row>
    <row r="80" spans="1:6" x14ac:dyDescent="0.2">
      <c r="A80" s="130">
        <f>IF(ISBLANK(Schedule1!A80),"",Schedule1!A80)</f>
        <v>30111</v>
      </c>
      <c r="B80" s="131" t="str">
        <f>IF(ISBLANK(Schedule1!B80),"",Schedule1!B80)</f>
        <v>Aggregate surface course*</v>
      </c>
      <c r="C80" s="209"/>
      <c r="D80" s="196"/>
      <c r="E80" s="129" t="str">
        <f t="shared" si="3"/>
        <v>-</v>
      </c>
      <c r="F80" s="13"/>
    </row>
    <row r="81" spans="1:6" x14ac:dyDescent="0.2">
      <c r="A81" s="125" t="str">
        <f>IF(ISBLANK(Schedule1!A81),"",Schedule1!A81)</f>
        <v>Section 302 –</v>
      </c>
      <c r="B81" s="140" t="str">
        <f>IF(ISBLANK(Schedule1!B81),"",Schedule1!B81)</f>
        <v>Minor Aggregate</v>
      </c>
      <c r="C81" s="107" t="s">
        <v>21</v>
      </c>
      <c r="D81" s="141" t="str">
        <f>IF(Units="US CUSTOMARY"," Tons"," tonnes")</f>
        <v xml:space="preserve"> Tons</v>
      </c>
      <c r="E81" s="142" t="s">
        <v>22</v>
      </c>
      <c r="F81" s="13"/>
    </row>
    <row r="82" spans="1:6" x14ac:dyDescent="0.2">
      <c r="A82" s="132">
        <f>IF(ISBLANK(Schedule1!A82),"",Schedule1!A82)</f>
        <v>30201</v>
      </c>
      <c r="B82" s="104" t="str">
        <f>IF(ISBLANK(Schedule1!B82),"",Schedule1!B82)</f>
        <v>Roadway Aggregate</v>
      </c>
      <c r="C82" s="202">
        <f>Fuel302</f>
        <v>0.7</v>
      </c>
      <c r="D82" s="32"/>
      <c r="E82" s="108" t="str">
        <f>IF(ISNUMBER(D82),+C$82*D82, "-")</f>
        <v>-</v>
      </c>
      <c r="F82" s="13"/>
    </row>
    <row r="83" spans="1:6" x14ac:dyDescent="0.2">
      <c r="A83" s="132">
        <f>IF(ISBLANK(Schedule1!A83),"",Schedule1!A83)</f>
        <v>30202</v>
      </c>
      <c r="B83" s="104" t="str">
        <f>IF(ISBLANK(Schedule1!B83),"",Schedule1!B83)</f>
        <v>Roadway Aggregate*</v>
      </c>
      <c r="C83" s="202"/>
      <c r="D83" s="32"/>
      <c r="E83" s="108" t="str">
        <f>IF(ISNUMBER(D83),+C$82*D83, "-")</f>
        <v>-</v>
      </c>
      <c r="F83" s="13"/>
    </row>
    <row r="84" spans="1:6" x14ac:dyDescent="0.2">
      <c r="A84" s="134" t="str">
        <f>IF(ISBLANK(Schedule1!A84),"",Schedule1!A84)</f>
        <v>Section 308 –</v>
      </c>
      <c r="B84" s="140" t="str">
        <f>IF(ISBLANK(Schedule1!B84),"",Schedule1!B84)</f>
        <v>Recycled Aggregate Base</v>
      </c>
      <c r="C84" s="107" t="s">
        <v>21</v>
      </c>
      <c r="D84" s="143" t="str">
        <f>IF(Units="US CUSTOMARY"," SQYD","m2")</f>
        <v xml:space="preserve"> SQYD</v>
      </c>
      <c r="E84" s="144" t="s">
        <v>22</v>
      </c>
      <c r="F84" s="13"/>
    </row>
    <row r="85" spans="1:6" x14ac:dyDescent="0.2">
      <c r="A85" s="133" t="str">
        <f>IF(ISBLANK(Schedule1!A85),"",Schedule1!A85)</f>
        <v>30801</v>
      </c>
      <c r="B85" s="104" t="str">
        <f>IF(ISBLANK(Schedule1!B85),"",Schedule1!B85)</f>
        <v>Recycled aggregate base</v>
      </c>
      <c r="C85" s="204">
        <f>Fuel308</f>
        <v>0.1</v>
      </c>
      <c r="D85" s="34"/>
      <c r="E85" s="108" t="str">
        <f>IF(ISNUMBER(D85),+C$85*D85, "-")</f>
        <v>-</v>
      </c>
      <c r="F85" s="13"/>
    </row>
    <row r="86" spans="1:6" x14ac:dyDescent="0.2">
      <c r="A86" s="133" t="str">
        <f>IF(ISBLANK(Schedule1!A86),"",Schedule1!A86)</f>
        <v>30802</v>
      </c>
      <c r="B86" s="104" t="str">
        <f>IF(ISBLANK(Schedule1!B86),"",Schedule1!B86)</f>
        <v>Recycled aggregate base*</v>
      </c>
      <c r="C86" s="202"/>
      <c r="D86" s="34"/>
      <c r="E86" s="108" t="str">
        <f>IF(ISNUMBER(D86),+C$85*D86, "-")</f>
        <v>-</v>
      </c>
      <c r="F86" s="13"/>
    </row>
    <row r="87" spans="1:6" x14ac:dyDescent="0.2">
      <c r="A87" s="133" t="str">
        <f>IF(ISBLANK(Schedule1!A87),"",Schedule1!A87)</f>
        <v>30803</v>
      </c>
      <c r="B87" s="104" t="str">
        <f>IF(ISBLANK(Schedule1!B87),"",Schedule1!B87)</f>
        <v>Recycled aggregate base*</v>
      </c>
      <c r="C87" s="202"/>
      <c r="D87" s="34"/>
      <c r="E87" s="108" t="str">
        <f>IF(ISNUMBER(D87),+C$85*D87, "-")</f>
        <v>-</v>
      </c>
      <c r="F87" s="13"/>
    </row>
    <row r="88" spans="1:6" x14ac:dyDescent="0.2">
      <c r="A88" s="134" t="str">
        <f>IF(ISBLANK(Schedule1!A88),"",Schedule1!A88)</f>
        <v>Section 309 –</v>
      </c>
      <c r="B88" s="140" t="str">
        <f>IF(ISBLANK(Schedule1!B88),"",Schedule1!B88)</f>
        <v>Emulsified Asphalt Treated Base Course</v>
      </c>
      <c r="C88" s="107" t="s">
        <v>21</v>
      </c>
      <c r="D88" s="143" t="str">
        <f>IF(Units="US CUSTOMARY"," Tons","tonnes")</f>
        <v xml:space="preserve"> Tons</v>
      </c>
      <c r="E88" s="144" t="s">
        <v>22</v>
      </c>
      <c r="F88" s="13"/>
    </row>
    <row r="89" spans="1:6" x14ac:dyDescent="0.2">
      <c r="A89" s="133">
        <f>IF(ISBLANK(Schedule1!A89),"",Schedule1!A89)</f>
        <v>30901</v>
      </c>
      <c r="B89" s="104" t="str">
        <f>IF(ISBLANK(Schedule1!B89),"",Schedule1!B89)</f>
        <v>Emulsified asphalt treated aggregate base</v>
      </c>
      <c r="C89" s="204">
        <f>Fuel309</f>
        <v>0.7</v>
      </c>
      <c r="D89" s="34"/>
      <c r="E89" s="108" t="str">
        <f>IF(ISNUMBER(D89),+C$89*D89, "-")</f>
        <v>-</v>
      </c>
      <c r="F89" s="13"/>
    </row>
    <row r="90" spans="1:6" x14ac:dyDescent="0.2">
      <c r="A90" s="133">
        <f>IF(ISBLANK(Schedule1!A90),"",Schedule1!A90)</f>
        <v>30902</v>
      </c>
      <c r="B90" s="104" t="str">
        <f>IF(ISBLANK(Schedule1!B90),"",Schedule1!B90)</f>
        <v>Emulsified asphalt treated aggregate base*</v>
      </c>
      <c r="C90" s="202"/>
      <c r="D90" s="34"/>
      <c r="E90" s="108" t="str">
        <f>IF(ISNUMBER(D90),+C$89*D90, "-")</f>
        <v>-</v>
      </c>
      <c r="F90" s="13"/>
    </row>
    <row r="91" spans="1:6" x14ac:dyDescent="0.2">
      <c r="A91" s="133">
        <f>IF(ISBLANK(Schedule1!A91),"",Schedule1!A91)</f>
        <v>30903</v>
      </c>
      <c r="B91" s="104" t="str">
        <f>IF(ISBLANK(Schedule1!B91),"",Schedule1!B91)</f>
        <v>Emulsified asphalt treated aggregate base*</v>
      </c>
      <c r="C91" s="202"/>
      <c r="D91" s="34"/>
      <c r="E91" s="108" t="str">
        <f>IF(ISNUMBER(D91),+C$89*D91, "-")</f>
        <v>-</v>
      </c>
      <c r="F91" s="13"/>
    </row>
    <row r="92" spans="1:6" x14ac:dyDescent="0.2">
      <c r="A92" s="134" t="str">
        <f>IF(ISBLANK(Schedule1!A92),"",Schedule1!A92)</f>
        <v>Section 310 –</v>
      </c>
      <c r="B92" s="140" t="str">
        <f>IF(ISBLANK(Schedule1!B92),"",Schedule1!B92)</f>
        <v>Cold In-Place (CIP) Recycled Asphalt Base</v>
      </c>
      <c r="C92" s="107" t="s">
        <v>21</v>
      </c>
      <c r="D92" s="143" t="str">
        <f>IF(Units="US CUSTOMARY"," SQYD","m2")</f>
        <v xml:space="preserve"> SQYD</v>
      </c>
      <c r="E92" s="144" t="s">
        <v>22</v>
      </c>
      <c r="F92" s="13"/>
    </row>
    <row r="93" spans="1:6" x14ac:dyDescent="0.2">
      <c r="A93" s="133">
        <f>IF(ISBLANK(Schedule1!A93),"",Schedule1!A93)</f>
        <v>31001</v>
      </c>
      <c r="B93" s="104" t="str">
        <f>IF(ISBLANK(Schedule1!B93),"",Schedule1!B93)</f>
        <v>CIP recycled ashalt base*</v>
      </c>
      <c r="C93" s="202">
        <f>Fuel310</f>
        <v>0.15</v>
      </c>
      <c r="D93" s="34"/>
      <c r="E93" s="108" t="str">
        <f>IF(ISNUMBER(D93),+C$93*D93, "-")</f>
        <v>-</v>
      </c>
      <c r="F93" s="13"/>
    </row>
    <row r="94" spans="1:6" x14ac:dyDescent="0.2">
      <c r="A94" s="133">
        <f>IF(ISBLANK(Schedule1!A94),"",Schedule1!A94)</f>
        <v>31002</v>
      </c>
      <c r="B94" s="55" t="str">
        <f>IF(ISBLANK(Schedule1!B94),"",Schedule1!B94)</f>
        <v>CIP recycled ashalt base</v>
      </c>
      <c r="C94" s="202"/>
      <c r="D94" s="34"/>
      <c r="E94" s="108" t="str">
        <f>IF(ISNUMBER(D94),+C$93*D94, "-")</f>
        <v>-</v>
      </c>
      <c r="F94" s="13"/>
    </row>
    <row r="95" spans="1:6" x14ac:dyDescent="0.2">
      <c r="A95" s="134" t="str">
        <f>IF(ISBLANK(Schedule1!A95),"",Schedule1!A95)</f>
        <v>Section 311 –</v>
      </c>
      <c r="B95" s="140" t="str">
        <f>IF(ISBLANK(Schedule1!B95),"",Schedule1!B95)</f>
        <v>Stabilized Aggregate Base Course</v>
      </c>
      <c r="C95" s="107" t="s">
        <v>21</v>
      </c>
      <c r="D95" s="143" t="str">
        <f>IF(Units="US CUSTOMARY"," Tons"," tonnes")</f>
        <v xml:space="preserve"> Tons</v>
      </c>
      <c r="E95" s="144" t="s">
        <v>22</v>
      </c>
      <c r="F95" s="13"/>
    </row>
    <row r="96" spans="1:6" ht="22.5" x14ac:dyDescent="0.2">
      <c r="A96" s="133" t="str">
        <f>IF(ISBLANK(Schedule1!A96),"",Schedule1!A96)</f>
        <v>31101</v>
      </c>
      <c r="B96" s="55" t="str">
        <f>IF(ISBLANK(Schedule1!B96),"",Schedule1!B96)</f>
        <v>Stabilized aggregate surface course*,imported aggregate*</v>
      </c>
      <c r="C96" s="197">
        <f>Fuel311</f>
        <v>0.7</v>
      </c>
      <c r="D96" s="34"/>
      <c r="E96" s="108" t="str">
        <f>IF(ISNUMBER(D96),+C$96*D96, "-")</f>
        <v>-</v>
      </c>
      <c r="F96" s="13"/>
    </row>
    <row r="97" spans="1:6" ht="22.5" x14ac:dyDescent="0.2">
      <c r="A97" s="133">
        <f>IF(ISBLANK(Schedule1!A97),"",Schedule1!A97)</f>
        <v>31101</v>
      </c>
      <c r="B97" s="55" t="str">
        <f>IF(ISBLANK(Schedule1!B97),"",Schedule1!B97)</f>
        <v>Stabilized aggregate surface course*,in-place aggregate*</v>
      </c>
      <c r="C97" s="197"/>
      <c r="D97" s="34"/>
      <c r="E97" s="108" t="str">
        <f>IF(ISNUMBER(D97),+C$96*D97, "-")</f>
        <v>-</v>
      </c>
      <c r="F97" s="13"/>
    </row>
    <row r="98" spans="1:6" ht="22.5" x14ac:dyDescent="0.2">
      <c r="A98" s="133" t="str">
        <f>IF(ISBLANK(Schedule1!A98),"",Schedule1!A98)</f>
        <v>31102</v>
      </c>
      <c r="B98" s="55" t="str">
        <f>IF(ISBLANK(Schedule1!B98),"",Schedule1!B98)</f>
        <v>Stabilized aggregate surface course*,imported aggregate*</v>
      </c>
      <c r="C98" s="197"/>
      <c r="D98" s="34"/>
      <c r="E98" s="108" t="str">
        <f>IF(ISNUMBER(D98),+C$96*D98, "-")</f>
        <v>-</v>
      </c>
      <c r="F98" s="13"/>
    </row>
    <row r="99" spans="1:6" ht="22.5" x14ac:dyDescent="0.2">
      <c r="A99" s="133">
        <f>IF(ISBLANK(Schedule1!A99),"",Schedule1!A99)</f>
        <v>31102</v>
      </c>
      <c r="B99" s="55" t="str">
        <f>IF(ISBLANK(Schedule1!B99),"",Schedule1!B99)</f>
        <v>Stabilized aggregate surface course*,in-place aggregate*</v>
      </c>
      <c r="C99" s="197"/>
      <c r="D99" s="34"/>
      <c r="E99" s="108" t="str">
        <f>IF(ISNUMBER(D99),+C$96*D99, "-")</f>
        <v>-</v>
      </c>
      <c r="F99" s="13"/>
    </row>
    <row r="100" spans="1:6" x14ac:dyDescent="0.2">
      <c r="A100" s="133" t="str">
        <f>IF(ISBLANK(Schedule1!A100),"",Schedule1!A100)</f>
        <v>31103</v>
      </c>
      <c r="B100" s="55" t="str">
        <f>IF(ISBLANK(Schedule1!B100),"",Schedule1!B100)</f>
        <v>Stabilized aggregate surface course*</v>
      </c>
      <c r="C100" s="203"/>
      <c r="D100" s="34"/>
      <c r="E100" s="108" t="str">
        <f>IF(ISNUMBER(D100),+C$96*D100, "-")</f>
        <v>-</v>
      </c>
      <c r="F100" s="13"/>
    </row>
    <row r="101" spans="1:6" x14ac:dyDescent="0.2">
      <c r="A101" s="134" t="str">
        <f>IF(ISBLANK(Schedule1!A101),"",Schedule1!A101)</f>
        <v>Section 401 –</v>
      </c>
      <c r="B101" s="140" t="str">
        <f>IF(ISBLANK(Schedule1!B101),"",Schedule1!B101)</f>
        <v>ACP by Gyratory Mix Design Method</v>
      </c>
      <c r="C101" s="126" t="s">
        <v>21</v>
      </c>
      <c r="D101" s="128" t="str">
        <f>IF(Units="US CUSTOMARY"," Tons"," tonnes")</f>
        <v xml:space="preserve"> Tons</v>
      </c>
      <c r="E101" s="127" t="s">
        <v>22</v>
      </c>
      <c r="F101" s="13"/>
    </row>
    <row r="102" spans="1:6" x14ac:dyDescent="0.2">
      <c r="A102" s="133" t="str">
        <f>IF(ISBLANK(Schedule1!A102),"",Schedule1!A102)</f>
        <v>40101</v>
      </c>
      <c r="B102" s="104" t="str">
        <f>IF(ISBLANK(Schedule1!B102),"",Schedule1!B102)</f>
        <v>Asphalt concrete pavement, gyratory mix</v>
      </c>
      <c r="C102" s="197">
        <f>Fuel401</f>
        <v>2.4</v>
      </c>
      <c r="D102" s="34"/>
      <c r="E102" s="105" t="str">
        <f>IF(ISNUMBER(D102),+C$102*D102, "-")</f>
        <v>-</v>
      </c>
      <c r="F102" s="13"/>
    </row>
    <row r="103" spans="1:6" ht="22.5" x14ac:dyDescent="0.2">
      <c r="A103" s="133" t="str">
        <f>IF(ISBLANK(Schedule1!A103),"",Schedule1!A103)</f>
        <v>40102</v>
      </c>
      <c r="B103" s="55" t="str">
        <f>IF(ISBLANK(Schedule1!B103),"",Schedule1!B103)</f>
        <v>Asphalt concrete pavement, gyratory mix, wedged and leveling</v>
      </c>
      <c r="C103" s="197"/>
      <c r="D103" s="34"/>
      <c r="E103" s="105" t="str">
        <f>IF(ISNUMBER(D103),+C$102*D103, "-")</f>
        <v>-</v>
      </c>
      <c r="F103" s="13"/>
    </row>
    <row r="104" spans="1:6" ht="24" x14ac:dyDescent="0.2">
      <c r="A104" s="145" t="str">
        <f>IF(ISBLANK(Schedule1!A104),"",Schedule1!A104)</f>
        <v>Section 402 –</v>
      </c>
      <c r="B104" s="147" t="str">
        <f>IF(ISBLANK(Schedule1!B104),"",Schedule1!B104)</f>
        <v>ACP by Hveem or Marshall Mix Design Method</v>
      </c>
      <c r="C104" s="33" t="s">
        <v>21</v>
      </c>
      <c r="D104" s="143" t="str">
        <f>IF(Units="US CUSTOMARY"," Tons"," tonnes")</f>
        <v xml:space="preserve"> Tons</v>
      </c>
      <c r="E104" s="146" t="s">
        <v>22</v>
      </c>
      <c r="F104" s="13"/>
    </row>
    <row r="105" spans="1:6" x14ac:dyDescent="0.2">
      <c r="A105" s="133" t="str">
        <f>IF(ISBLANK(Schedule1!A105),"",Schedule1!A105)</f>
        <v>40201</v>
      </c>
      <c r="B105" s="104" t="str">
        <f>IF(ISBLANK(Schedule1!B105),"",Schedule1!B105)</f>
        <v>ACP Hveem or Marshall Mix Design Method</v>
      </c>
      <c r="C105" s="197">
        <f>Fuel402</f>
        <v>2.4</v>
      </c>
      <c r="D105" s="34"/>
      <c r="E105" s="105" t="str">
        <f>IF(ISNUMBER(D105),+C$105*D105, "-")</f>
        <v>-</v>
      </c>
      <c r="F105" s="13"/>
    </row>
    <row r="106" spans="1:6" ht="22.5" x14ac:dyDescent="0.2">
      <c r="A106" s="133" t="str">
        <f>IF(ISBLANK(Schedule1!A106),"",Schedule1!A106)</f>
        <v>40202</v>
      </c>
      <c r="B106" s="55" t="str">
        <f>IF(ISBLANK(Schedule1!B106),"",Schedule1!B106)</f>
        <v>ACP Hveen or Marshall Mix, wedge and leveling course</v>
      </c>
      <c r="C106" s="197"/>
      <c r="D106" s="34"/>
      <c r="E106" s="105" t="str">
        <f>IF(ISNUMBER(D106),+C$105*D106, "-")</f>
        <v>-</v>
      </c>
      <c r="F106" s="13"/>
    </row>
    <row r="107" spans="1:6" x14ac:dyDescent="0.2">
      <c r="A107" s="145" t="str">
        <f>IF(ISBLANK(Schedule1!A107),"",Schedule1!A107)</f>
        <v>Section 403 –</v>
      </c>
      <c r="B107" s="147" t="str">
        <f>IF(ISBLANK(Schedule1!B107),"",Schedule1!B107)</f>
        <v>Asphalt Concrete</v>
      </c>
      <c r="C107" s="33" t="s">
        <v>21</v>
      </c>
      <c r="D107" s="143" t="str">
        <f>IF(Units="US CUSTOMARY"," Tons"," tonnes")</f>
        <v xml:space="preserve"> Tons</v>
      </c>
      <c r="E107" s="146" t="s">
        <v>22</v>
      </c>
      <c r="F107" s="13"/>
    </row>
    <row r="108" spans="1:6" x14ac:dyDescent="0.2">
      <c r="A108" s="133">
        <f>IF(ISBLANK(Schedule1!A108),"",Schedule1!A108)</f>
        <v>40301</v>
      </c>
      <c r="B108" s="104" t="str">
        <f>IF(ISBLANK(Schedule1!B108),"",Schedule1!B108)</f>
        <v>Asphalt concrete pavement</v>
      </c>
      <c r="C108" s="197">
        <f>Fuel403</f>
        <v>2.4</v>
      </c>
      <c r="D108" s="34"/>
      <c r="E108" s="105" t="str">
        <f>IF(ISNUMBER(D108),+C$108*D108, "-")</f>
        <v>-</v>
      </c>
      <c r="F108" s="13"/>
    </row>
    <row r="109" spans="1:6" x14ac:dyDescent="0.2">
      <c r="A109" s="133">
        <f>IF(ISBLANK(Schedule1!A109),"",Schedule1!A109)</f>
        <v>40302</v>
      </c>
      <c r="B109" s="104" t="str">
        <f>IF(ISBLANK(Schedule1!B109),"",Schedule1!B109)</f>
        <v>Asphalt concrete pavement*</v>
      </c>
      <c r="C109" s="197"/>
      <c r="D109" s="34"/>
      <c r="E109" s="105" t="str">
        <f>IF(ISNUMBER(D109),+C$108*D109, "-")</f>
        <v>-</v>
      </c>
      <c r="F109" s="13"/>
    </row>
    <row r="110" spans="1:6" ht="22.5" x14ac:dyDescent="0.2">
      <c r="A110" s="133">
        <f>IF(ISBLANK(Schedule1!A110),"",Schedule1!A110)</f>
        <v>40303</v>
      </c>
      <c r="B110" s="55" t="str">
        <f>IF(ISBLANK(Schedule1!B110),"",Schedule1!B110)</f>
        <v>Asphalt concrete pavement, wedge and leveling course</v>
      </c>
      <c r="C110" s="197"/>
      <c r="D110" s="34"/>
      <c r="E110" s="105" t="str">
        <f>IF(ISNUMBER(D110),+C$108*D110, "-")</f>
        <v>-</v>
      </c>
      <c r="F110" s="13"/>
    </row>
    <row r="111" spans="1:6" ht="12.75" customHeight="1" x14ac:dyDescent="0.2">
      <c r="A111" s="101"/>
      <c r="B111" s="35"/>
      <c r="C111" s="49"/>
      <c r="D111" s="46"/>
      <c r="E111" s="24"/>
      <c r="F111" s="24"/>
    </row>
    <row r="112" spans="1:6" ht="18.75" thickBot="1" x14ac:dyDescent="0.3">
      <c r="A112" s="200" t="s">
        <v>78</v>
      </c>
      <c r="B112" s="200"/>
      <c r="C112" s="200"/>
      <c r="D112" s="200"/>
      <c r="E112" s="200"/>
      <c r="F112" s="200"/>
    </row>
    <row r="113" spans="1:6" ht="14.25" thickTop="1" thickBot="1" x14ac:dyDescent="0.25">
      <c r="A113" s="70"/>
      <c r="B113" s="96" t="s">
        <v>94</v>
      </c>
      <c r="C113" s="98" t="str">
        <f>FP</f>
        <v>FP-14</v>
      </c>
      <c r="D113" s="73"/>
      <c r="E113" s="73"/>
      <c r="F113" s="73"/>
    </row>
    <row r="114" spans="1:6" ht="14.25" thickTop="1" thickBot="1" x14ac:dyDescent="0.25">
      <c r="A114" s="70"/>
      <c r="B114" s="70"/>
      <c r="C114" s="74"/>
      <c r="D114" s="73"/>
      <c r="E114" s="64" t="s">
        <v>1</v>
      </c>
      <c r="F114" s="65">
        <f ca="1">Date</f>
        <v>45469</v>
      </c>
    </row>
    <row r="115" spans="1:6" ht="14.25" thickTop="1" thickBot="1" x14ac:dyDescent="0.25">
      <c r="A115" s="61" t="s">
        <v>0</v>
      </c>
      <c r="B115" s="120" t="str">
        <f>ProjNum</f>
        <v>WA WFL Test(1)</v>
      </c>
      <c r="C115" s="99"/>
      <c r="D115" s="100"/>
      <c r="E115" s="66" t="s">
        <v>3</v>
      </c>
      <c r="F115" s="98" t="str">
        <f>SchedType</f>
        <v>Option</v>
      </c>
    </row>
    <row r="116" spans="1:6" ht="14.25" thickTop="1" thickBot="1" x14ac:dyDescent="0.25">
      <c r="A116" s="61" t="s">
        <v>2</v>
      </c>
      <c r="B116" s="201" t="str">
        <f>ProjName</f>
        <v>Wafflehead Park Road</v>
      </c>
      <c r="C116" s="201"/>
      <c r="D116" s="201"/>
      <c r="E116" s="66" t="s">
        <v>5</v>
      </c>
      <c r="F116" s="98" t="str">
        <f>SchedLet</f>
        <v>Z</v>
      </c>
    </row>
    <row r="117" spans="1:6" ht="14.25" thickTop="1" thickBot="1" x14ac:dyDescent="0.25">
      <c r="A117" s="61"/>
      <c r="B117" s="75"/>
      <c r="C117" s="75"/>
      <c r="D117" s="75"/>
      <c r="E117" s="64" t="s">
        <v>7</v>
      </c>
      <c r="F117" s="98" t="str">
        <f>Units</f>
        <v>US CUSTOMARY</v>
      </c>
    </row>
    <row r="118" spans="1:6" ht="14.25" thickTop="1" thickBot="1" x14ac:dyDescent="0.25">
      <c r="A118" s="2"/>
      <c r="B118" s="2"/>
      <c r="C118" s="3"/>
      <c r="D118" s="4"/>
      <c r="E118" s="6"/>
      <c r="F118" s="5"/>
    </row>
    <row r="119" spans="1:6" ht="19.5" customHeight="1" thickBot="1" x14ac:dyDescent="0.25">
      <c r="A119" s="41" t="s">
        <v>45</v>
      </c>
      <c r="B119" s="42"/>
      <c r="C119" s="42"/>
      <c r="D119" s="42"/>
      <c r="E119" s="42"/>
      <c r="F119" s="43"/>
    </row>
    <row r="120" spans="1:6" x14ac:dyDescent="0.2">
      <c r="A120" s="7"/>
      <c r="B120" s="23"/>
      <c r="C120" s="24"/>
      <c r="D120" s="24"/>
      <c r="E120" s="24"/>
      <c r="F120" s="24"/>
    </row>
    <row r="121" spans="1:6" ht="15" customHeight="1" x14ac:dyDescent="0.2">
      <c r="A121" s="145" t="str">
        <f>IF(ISBLANK(Schedule1!A121),"",Schedule1!A121)</f>
        <v>Section 404 –</v>
      </c>
      <c r="B121" s="147" t="str">
        <f>IF(ISBLANK(Schedule1!B121),"",Schedule1!B121)</f>
        <v>RESERVED</v>
      </c>
      <c r="C121" s="33" t="s">
        <v>21</v>
      </c>
      <c r="D121" s="143" t="str">
        <f>IF(Units="US CUSTOMARY"," Tons"," tonnes")</f>
        <v xml:space="preserve"> Tons</v>
      </c>
      <c r="E121" s="146" t="s">
        <v>22</v>
      </c>
      <c r="F121" s="24"/>
    </row>
    <row r="122" spans="1:6" x14ac:dyDescent="0.2">
      <c r="A122" s="33" t="str">
        <f>IF(ISBLANK(Schedule1!A122),"",Schedule1!A122)</f>
        <v>-</v>
      </c>
      <c r="B122" s="104" t="str">
        <f>IF(ISBLANK(Schedule1!B122),"",Schedule1!B122)</f>
        <v>-</v>
      </c>
      <c r="C122" s="198">
        <f>Fuel404</f>
        <v>2.4</v>
      </c>
      <c r="D122" s="34"/>
      <c r="E122" s="105" t="str">
        <f>IF(ISNUMBER(D122),+C$122*D122, "-")</f>
        <v>-</v>
      </c>
      <c r="F122" s="24"/>
    </row>
    <row r="123" spans="1:6" x14ac:dyDescent="0.2">
      <c r="A123" s="33" t="str">
        <f>IF(ISBLANK(Schedule1!A123),"",Schedule1!A123)</f>
        <v>-</v>
      </c>
      <c r="B123" s="104" t="str">
        <f>IF(ISBLANK(Schedule1!B123),"",Schedule1!B123)</f>
        <v>-</v>
      </c>
      <c r="C123" s="199"/>
      <c r="D123" s="34"/>
      <c r="E123" s="105" t="str">
        <f>IF(ISNUMBER(D123),+C$122*D123, "-")</f>
        <v>-</v>
      </c>
      <c r="F123" s="24"/>
    </row>
    <row r="124" spans="1:6" ht="15" customHeight="1" x14ac:dyDescent="0.2">
      <c r="A124" s="145" t="str">
        <f>IF(ISBLANK(Schedule1!A124),"",Schedule1!A124)</f>
        <v>Section 405 –</v>
      </c>
      <c r="B124" s="147" t="str">
        <f>IF(ISBLANK(Schedule1!B124),"",Schedule1!B124)</f>
        <v>Open-Graded Asphalt Friction</v>
      </c>
      <c r="C124" s="33" t="s">
        <v>21</v>
      </c>
      <c r="D124" s="143" t="str">
        <f>IF(Units="US CUSTOMARY"," Tons"," tonnes")</f>
        <v xml:space="preserve"> Tons</v>
      </c>
      <c r="E124" s="146" t="s">
        <v>22</v>
      </c>
      <c r="F124" s="24"/>
    </row>
    <row r="125" spans="1:6" ht="15" x14ac:dyDescent="0.2">
      <c r="A125" s="33">
        <f>IF(ISBLANK(Schedule1!A125),"",Schedule1!A125)</f>
        <v>40501</v>
      </c>
      <c r="B125" s="106" t="str">
        <f>IF(ISBLANK(Schedule1!B125),"",Schedule1!B125)</f>
        <v>Open-graded asphalt friction course</v>
      </c>
      <c r="C125" s="121">
        <f>Fuel405</f>
        <v>2.4</v>
      </c>
      <c r="D125" s="34"/>
      <c r="E125" s="105" t="str">
        <f>IF(ISNUMBER(D125),+C$125*D125, "-")</f>
        <v>-</v>
      </c>
      <c r="F125" s="24"/>
    </row>
    <row r="126" spans="1:6" ht="15" customHeight="1" x14ac:dyDescent="0.2">
      <c r="A126" s="145" t="str">
        <f>IF(ISBLANK(Schedule1!A126),"",Schedule1!A126)</f>
        <v>Section 408 –</v>
      </c>
      <c r="B126" s="147" t="str">
        <f>IF(ISBLANK(Schedule1!B126),"",Schedule1!B126)</f>
        <v>Cold Recycled Asphalt Base Course</v>
      </c>
      <c r="C126" s="33" t="s">
        <v>21</v>
      </c>
      <c r="D126" s="143" t="str">
        <f>IF(Units="US CUSTOMARY"," Tons"," tonnes")</f>
        <v xml:space="preserve"> Tons</v>
      </c>
      <c r="E126" s="146" t="s">
        <v>22</v>
      </c>
      <c r="F126" s="13"/>
    </row>
    <row r="127" spans="1:6" ht="12.75" customHeight="1" x14ac:dyDescent="0.2">
      <c r="A127" s="33" t="str">
        <f>IF(ISBLANK(Schedule1!A127),"",Schedule1!A127)</f>
        <v>40801</v>
      </c>
      <c r="B127" s="104" t="str">
        <f>IF(ISBLANK(Schedule1!B127),"",Schedule1!B127)</f>
        <v>Cold recycled asphalt base course</v>
      </c>
      <c r="C127" s="198">
        <f>Fuel408</f>
        <v>0.7</v>
      </c>
      <c r="D127" s="34"/>
      <c r="E127" s="105" t="str">
        <f>IF(ISNUMBER(D127),+C$127*D127, "-")</f>
        <v>-</v>
      </c>
      <c r="F127" s="13"/>
    </row>
    <row r="128" spans="1:6" ht="12.75" customHeight="1" x14ac:dyDescent="0.2">
      <c r="A128" s="33" t="str">
        <f>IF(ISBLANK(Schedule1!A128),"",Schedule1!A128)</f>
        <v>40802</v>
      </c>
      <c r="B128" s="104" t="str">
        <f>IF(ISBLANK(Schedule1!B128),"",Schedule1!B128)</f>
        <v>Cold recycled asphalt base course*</v>
      </c>
      <c r="C128" s="199"/>
      <c r="D128" s="34"/>
      <c r="E128" s="105" t="str">
        <f>IF(ISNUMBER(D128),+C$127*D128, "-")</f>
        <v>-</v>
      </c>
      <c r="F128" s="13"/>
    </row>
    <row r="129" spans="1:7" ht="15" customHeight="1" x14ac:dyDescent="0.2">
      <c r="A129" s="145" t="str">
        <f>IF(ISBLANK(Schedule1!A129),"",Schedule1!A129)</f>
        <v>Section 501 –</v>
      </c>
      <c r="B129" s="147" t="str">
        <f>IF(ISBLANK(Schedule1!B129),"",Schedule1!B129)</f>
        <v>Minor Concrete Pavement</v>
      </c>
      <c r="C129" s="33" t="s">
        <v>21</v>
      </c>
      <c r="D129" s="143" t="str">
        <f>IF(Units="US CUSTOMARY"," SQYD","m2")</f>
        <v xml:space="preserve"> SQYD</v>
      </c>
      <c r="E129" s="146" t="s">
        <v>22</v>
      </c>
      <c r="F129" s="13"/>
    </row>
    <row r="130" spans="1:7" ht="12.75" customHeight="1" x14ac:dyDescent="0.2">
      <c r="A130" s="33">
        <f>IF(ISBLANK(Schedule1!A130),"",Schedule1!A130)</f>
        <v>50101</v>
      </c>
      <c r="B130" s="104" t="str">
        <f>IF(ISBLANK(Schedule1!B130),"",Schedule1!B130)</f>
        <v>Minor concrete pacement, reinforced</v>
      </c>
      <c r="C130" s="198">
        <f>Fuel501</f>
        <v>0.6</v>
      </c>
      <c r="D130" s="34"/>
      <c r="E130" s="105" t="str">
        <f>IF(ISNUMBER(D130),+C$130*D130, "-")</f>
        <v>-</v>
      </c>
      <c r="F130" s="13"/>
    </row>
    <row r="131" spans="1:7" ht="12.75" customHeight="1" x14ac:dyDescent="0.2">
      <c r="A131" s="33">
        <f>IF(ISBLANK(Schedule1!A131),"",Schedule1!A131)</f>
        <v>50102</v>
      </c>
      <c r="B131" s="104" t="str">
        <f>IF(ISBLANK(Schedule1!B131),"",Schedule1!B131)</f>
        <v>Minor concrete pavement, plain</v>
      </c>
      <c r="C131" s="199"/>
      <c r="D131" s="34"/>
      <c r="E131" s="105" t="str">
        <f>IF(ISNUMBER(D131),+C$130*D131, "-")</f>
        <v>-</v>
      </c>
      <c r="F131" s="13"/>
    </row>
    <row r="132" spans="1:7" ht="12.75" customHeight="1" x14ac:dyDescent="0.2">
      <c r="A132" s="154" t="str">
        <f>IF(ISBLANK(Schedule1!A132),"",Schedule1!A132)</f>
        <v>* The Government, to agree with the units associated with the applicable Fuel Usage Factor, will convert work quantities, as necessary.</v>
      </c>
      <c r="B132" s="25"/>
      <c r="C132" s="26"/>
      <c r="D132" s="27"/>
      <c r="E132" s="27"/>
      <c r="F132" s="27"/>
    </row>
    <row r="133" spans="1:7" ht="12.75" customHeight="1" x14ac:dyDescent="0.2">
      <c r="A133" s="25"/>
      <c r="B133" s="25"/>
      <c r="C133" s="26"/>
      <c r="D133" s="27"/>
      <c r="E133" s="27"/>
      <c r="F133" s="27"/>
    </row>
    <row r="134" spans="1:7" ht="12.75" customHeight="1" x14ac:dyDescent="0.2">
      <c r="A134" s="25"/>
      <c r="B134" s="25"/>
      <c r="C134" s="26"/>
      <c r="D134" s="27"/>
      <c r="E134" s="27"/>
      <c r="F134" s="27"/>
    </row>
    <row r="135" spans="1:7" ht="18" x14ac:dyDescent="0.2">
      <c r="A135" s="155"/>
      <c r="B135" s="39"/>
      <c r="C135" s="40" t="str">
        <f>IF(ISBLANK(Schedule1!C135),"",Schedule1!C135)</f>
        <v xml:space="preserve">Total Quantity of Work x FUF (see 109.06, Table 1)   = </v>
      </c>
      <c r="D135" s="111">
        <f>SUM(E61:E132)</f>
        <v>0</v>
      </c>
      <c r="E135" s="7"/>
      <c r="F135" s="7"/>
      <c r="G135" s="76"/>
    </row>
    <row r="136" spans="1:7" ht="18" x14ac:dyDescent="0.2">
      <c r="A136" s="7"/>
      <c r="B136" s="112"/>
      <c r="C136" s="113" t="str">
        <f>IF(ISBLANK(Schedule1!C136),"",Schedule1!C136)</f>
        <v>BPI for Low Sulfur, No. 2 Diesel Fuel per Gallon</v>
      </c>
      <c r="D136" s="114"/>
      <c r="E136" s="24"/>
      <c r="F136" s="24"/>
      <c r="G136" s="76"/>
    </row>
    <row r="137" spans="1:7" ht="18" x14ac:dyDescent="0.2">
      <c r="A137" s="7"/>
      <c r="B137" s="115"/>
      <c r="C137" s="113" t="str">
        <f>IF(ISBLANK(Schedule1!C137),"",Schedule1!C137)</f>
        <v>Max MPPI (BPI x 1.6)</v>
      </c>
      <c r="D137" s="116">
        <f>IFERROR(D136*1.6,"-")</f>
        <v>0</v>
      </c>
      <c r="E137" s="24"/>
      <c r="F137" s="24"/>
      <c r="G137" s="76"/>
    </row>
    <row r="138" spans="1:7" ht="18" x14ac:dyDescent="0.2">
      <c r="A138" s="25"/>
      <c r="B138" s="115"/>
      <c r="C138" s="117" t="str">
        <f>IF(ISBLANK(Schedule1!C138),"",Schedule1!C138)</f>
        <v>Maximum Payment to Contractor</v>
      </c>
      <c r="D138" s="148">
        <f>IFERROR((1.6-1.1)*D136*D135,"-")</f>
        <v>0</v>
      </c>
      <c r="E138" s="27"/>
      <c r="F138" s="27"/>
      <c r="G138" s="76"/>
    </row>
    <row r="139" spans="1:7" ht="18" x14ac:dyDescent="0.15">
      <c r="A139" s="25"/>
      <c r="B139" s="115"/>
      <c r="C139" s="117" t="str">
        <f>IF(ISBLANK(Schedule1!C139),"",Schedule1!C139)</f>
        <v>% of Max. Payment to Contractor (15%-30%)</v>
      </c>
      <c r="D139" s="149"/>
      <c r="E139" s="28"/>
      <c r="F139" s="29"/>
      <c r="G139" s="76"/>
    </row>
    <row r="140" spans="1:7" ht="18" x14ac:dyDescent="0.15">
      <c r="A140" s="25"/>
      <c r="B140" s="118"/>
      <c r="C140" s="119" t="s">
        <v>51</v>
      </c>
      <c r="D140" s="110">
        <f>SUM(D139)*D138</f>
        <v>0</v>
      </c>
      <c r="E140" s="28"/>
      <c r="F140" s="29"/>
      <c r="G140" s="76"/>
    </row>
    <row r="141" spans="1:7" x14ac:dyDescent="0.2">
      <c r="A141" s="25"/>
      <c r="B141" s="25"/>
      <c r="C141" s="37"/>
      <c r="D141" s="38"/>
      <c r="E141" s="28"/>
      <c r="F141" s="29"/>
    </row>
    <row r="142" spans="1:7" x14ac:dyDescent="0.2">
      <c r="A142" s="30"/>
      <c r="B142" s="31"/>
      <c r="C142" s="26"/>
      <c r="D142" s="27"/>
      <c r="E142" s="27"/>
      <c r="F142" s="27"/>
    </row>
    <row r="143" spans="1:7" ht="13.5" thickBot="1" x14ac:dyDescent="0.2">
      <c r="A143" s="25"/>
      <c r="B143" s="25"/>
      <c r="C143" s="26"/>
      <c r="D143" s="27"/>
      <c r="E143" s="28"/>
      <c r="F143" s="29"/>
    </row>
    <row r="144" spans="1:7" ht="19.5" customHeight="1" thickBot="1" x14ac:dyDescent="0.25">
      <c r="A144" s="150" t="s">
        <v>52</v>
      </c>
      <c r="B144" s="44"/>
      <c r="C144" s="44"/>
      <c r="D144" s="44"/>
      <c r="E144" s="44"/>
      <c r="F144" s="45"/>
    </row>
    <row r="145" spans="1:7" x14ac:dyDescent="0.2">
      <c r="A145" s="30"/>
      <c r="B145" s="31"/>
      <c r="C145" s="26"/>
      <c r="D145" s="27"/>
      <c r="E145" s="27"/>
      <c r="F145" s="27"/>
    </row>
    <row r="146" spans="1:7" x14ac:dyDescent="0.2">
      <c r="A146" s="7"/>
      <c r="B146" s="23"/>
      <c r="C146" s="24"/>
      <c r="D146" s="24"/>
      <c r="E146" s="24"/>
      <c r="F146" s="24"/>
    </row>
    <row r="147" spans="1:7" ht="18.75" thickBot="1" x14ac:dyDescent="0.2">
      <c r="A147" s="25"/>
      <c r="B147" s="39"/>
      <c r="C147" s="40" t="s">
        <v>53</v>
      </c>
      <c r="D147" s="151"/>
      <c r="E147" s="28"/>
      <c r="F147" s="29"/>
      <c r="G147" s="76"/>
    </row>
    <row r="148" spans="1:7" ht="18.75" thickTop="1" x14ac:dyDescent="0.15">
      <c r="A148" s="25"/>
      <c r="B148" s="112"/>
      <c r="C148" s="113" t="s">
        <v>54</v>
      </c>
      <c r="D148" s="152"/>
      <c r="E148" s="28"/>
      <c r="F148" s="29"/>
      <c r="G148" s="76"/>
    </row>
    <row r="149" spans="1:7" ht="18" x14ac:dyDescent="0.15">
      <c r="A149" s="25"/>
      <c r="B149" s="115"/>
      <c r="C149" s="113" t="s">
        <v>48</v>
      </c>
      <c r="D149" s="116">
        <f>IFERROR(D148*1.6,"-")</f>
        <v>0</v>
      </c>
      <c r="E149" s="28"/>
      <c r="F149" s="29"/>
      <c r="G149" s="76"/>
    </row>
    <row r="150" spans="1:7" ht="18" x14ac:dyDescent="0.15">
      <c r="A150" s="25"/>
      <c r="B150" s="115"/>
      <c r="C150" s="117" t="s">
        <v>55</v>
      </c>
      <c r="D150" s="148">
        <f>IFERROR((1.6-1.1)*D148*(D147*0.06),"-")</f>
        <v>0</v>
      </c>
      <c r="E150" s="28"/>
      <c r="F150" s="29"/>
      <c r="G150" s="76"/>
    </row>
    <row r="151" spans="1:7" ht="18" x14ac:dyDescent="0.15">
      <c r="A151" s="25"/>
      <c r="B151" s="115"/>
      <c r="C151" s="117" t="s">
        <v>50</v>
      </c>
      <c r="D151" s="149"/>
      <c r="E151" s="28"/>
      <c r="F151" s="29"/>
      <c r="G151" s="76"/>
    </row>
    <row r="152" spans="1:7" ht="18" x14ac:dyDescent="0.2">
      <c r="A152" s="25"/>
      <c r="B152" s="118"/>
      <c r="C152" s="119" t="s">
        <v>56</v>
      </c>
      <c r="D152" s="110">
        <f>SUM(D151)*D150</f>
        <v>0</v>
      </c>
      <c r="E152" s="27"/>
      <c r="F152" s="27"/>
      <c r="G152" s="76"/>
    </row>
    <row r="153" spans="1:7" x14ac:dyDescent="0.2">
      <c r="A153" s="25"/>
      <c r="B153" s="25"/>
      <c r="C153" s="26"/>
      <c r="D153" s="27"/>
      <c r="E153" s="27"/>
      <c r="F153" s="27"/>
    </row>
    <row r="154" spans="1:7" x14ac:dyDescent="0.2">
      <c r="A154" s="30"/>
      <c r="B154" s="31"/>
      <c r="C154" s="26"/>
      <c r="D154" s="27"/>
      <c r="E154" s="27"/>
      <c r="F154" s="27"/>
    </row>
    <row r="155" spans="1:7" x14ac:dyDescent="0.2">
      <c r="A155" s="31"/>
      <c r="B155" s="31"/>
      <c r="C155" s="26"/>
      <c r="D155" s="27"/>
      <c r="E155" s="27"/>
      <c r="F155" s="27"/>
    </row>
  </sheetData>
  <dataConsolidate/>
  <mergeCells count="26">
    <mergeCell ref="A32:E32"/>
    <mergeCell ref="A1:F1"/>
    <mergeCell ref="B5:D5"/>
    <mergeCell ref="A8:F8"/>
    <mergeCell ref="A18:F18"/>
    <mergeCell ref="A25:F25"/>
    <mergeCell ref="C96:C100"/>
    <mergeCell ref="A34:F34"/>
    <mergeCell ref="A41:E41"/>
    <mergeCell ref="A52:F52"/>
    <mergeCell ref="B56:D56"/>
    <mergeCell ref="C62:C66"/>
    <mergeCell ref="C68:C71"/>
    <mergeCell ref="C73:C80"/>
    <mergeCell ref="C82:C83"/>
    <mergeCell ref="C85:C87"/>
    <mergeCell ref="C89:C91"/>
    <mergeCell ref="C93:C94"/>
    <mergeCell ref="C127:C128"/>
    <mergeCell ref="C130:C131"/>
    <mergeCell ref="C102:C103"/>
    <mergeCell ref="C105:C106"/>
    <mergeCell ref="C108:C110"/>
    <mergeCell ref="A112:F112"/>
    <mergeCell ref="B116:D116"/>
    <mergeCell ref="C122:C123"/>
  </mergeCells>
  <conditionalFormatting sqref="A61:E131">
    <cfRule type="expression" dxfId="0" priority="1">
      <formula>$C61="FUF"</formula>
    </cfRule>
  </conditionalFormatting>
  <dataValidations count="8">
    <dataValidation allowBlank="1" showInputMessage="1" showErrorMessage="1" promptTitle="Enter project name" prompt="Example:  Pinto Basin Road" sqref="B6:D6" xr:uid="{4632F100-606A-42C6-BCA0-124EEBFE244B}"/>
    <dataValidation type="list" allowBlank="1" showInputMessage="1" showErrorMessage="1" promptTitle="Select Schedule Type" prompt="Select Base, Option, or Alternate" sqref="F4" xr:uid="{9F6F9F2D-1601-45F2-8ADF-879E148ACDB5}">
      <formula1>", Base, Option, Alternate"</formula1>
    </dataValidation>
    <dataValidation type="whole" operator="greaterThanOrEqual" allowBlank="1" showInputMessage="1" showErrorMessage="1" error="Bid decimals set to zero._x000a__x000a_Contact Heidi Hirsbrunner (X3622)_x000a__x000a_to modify Incentive Spreadsheet." sqref="D108:D110 D93:D94 D130:D131 D102:D103 D89:D91 D125 D122:D123 D127:D128 D85:D87 D105:D106 D96:D100" xr:uid="{3BD7F8CD-BA9F-40DE-B4D3-2F685D8C79C1}">
      <formula1>0</formula1>
    </dataValidation>
    <dataValidation type="whole" operator="greaterThanOrEqual" allowBlank="1" showInputMessage="1" showErrorMessage="1" error="Bid decimals set to zero._x000a__x000a_Contact Heidi Hirsbrunner (X3622) _x000a__x000a_to modify Incentive Spreadsheet." sqref="D73:D80 D82:D83" xr:uid="{5E26CE85-31D7-4736-95AF-76D222762945}">
      <formula1>0</formula1>
    </dataValidation>
    <dataValidation type="whole" operator="greaterThanOrEqual" allowBlank="1" showInputMessage="1" showErrorMessage="1" error="Bid decimals set to zero._x000a__x000a_Contact Heidi Hirsbrunner (X3622)_x000a_                   _x000a_to modify Incentive Spreadsheet." sqref="D68:D71 D62:D66" xr:uid="{2D4E6EC4-78C4-4450-9F1C-C570E1E24FB1}">
      <formula1>0</formula1>
    </dataValidation>
    <dataValidation type="whole" operator="greaterThanOrEqual" allowBlank="1" showInputMessage="1" showErrorMessage="1" error="Bid decimals set to zero._x000a__x000a_Contact Heidi Hirsbrunner (X3622)_x000a_                _x000a_to modify Incentive Spreadsheet." sqref="C36:C38 C10:C17 C20:C23 C27:C29" xr:uid="{179E9A27-B244-43A7-BC8B-4810B8208E42}">
      <formula1>0</formula1>
    </dataValidation>
    <dataValidation type="whole" operator="greaterThanOrEqual" allowBlank="1" showInputMessage="1" showErrorMessage="1" error="Bid decimals set to zero._x000a__x000a_Contact Steve Chapman (X7801)_x000a_                   or_x000a_    Greg Kwock (X7987)_x000a__x000a_to modify Incentive Spreadsheet." sqref="C24 C30 C111" xr:uid="{6B5B0EE9-3309-4FDB-AE0C-F018DD458063}">
      <formula1>0</formula1>
    </dataValidation>
    <dataValidation type="list" showInputMessage="1" showErrorMessage="1" error="Please use drop-down menu to select a schedule letter" promptTitle="Choose Letter" prompt="If you need more than six schedules, then copy addtional sheet tabs and calculate incentives separately for each schedule._x000a__x000a_Sheets tabs can be copied by left clicking the active tab, choosing 'Move or Copy', then clicking the 'Create Copy' checkbox.  " sqref="F5" xr:uid="{F2B78856-765A-41F8-9BA1-C3663BBB569C}">
      <formula1>"  , A, B, C, D, E, F, G, W, X, Y, Z"</formula1>
    </dataValidation>
  </dataValidations>
  <printOptions horizontalCentered="1"/>
  <pageMargins left="0.45" right="0.45" top="0.6" bottom="0.25" header="0" footer="0.05"/>
  <pageSetup scale="81" fitToHeight="2" orientation="portrait" r:id="rId1"/>
  <headerFooter>
    <oddFooter>&amp;RRev. 04-23-2024</oddFooter>
  </headerFooter>
  <rowBreaks count="2" manualBreakCount="2">
    <brk id="51" max="7" man="1"/>
    <brk id="111" max="6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B1:K22"/>
  <sheetViews>
    <sheetView showGridLines="0" workbookViewId="0"/>
  </sheetViews>
  <sheetFormatPr defaultRowHeight="12.75" x14ac:dyDescent="0.2"/>
  <cols>
    <col min="1" max="1" width="1.42578125" customWidth="1"/>
    <col min="2" max="2" width="14.140625" customWidth="1"/>
    <col min="3" max="3" width="26.7109375" customWidth="1"/>
    <col min="4" max="10" width="14.7109375" customWidth="1"/>
  </cols>
  <sheetData>
    <row r="1" spans="2:11" ht="23.25" x14ac:dyDescent="0.2">
      <c r="B1" s="214" t="s">
        <v>80</v>
      </c>
      <c r="C1" s="214"/>
      <c r="D1" s="214"/>
      <c r="E1" s="214"/>
      <c r="F1" s="214"/>
      <c r="G1" s="214"/>
      <c r="H1" s="214"/>
      <c r="I1" s="214"/>
      <c r="J1" s="214"/>
      <c r="K1" s="77" t="s">
        <v>91</v>
      </c>
    </row>
    <row r="2" spans="2:11" ht="15" customHeight="1" x14ac:dyDescent="0.2">
      <c r="B2" s="173"/>
      <c r="C2" s="174"/>
      <c r="D2" s="174"/>
      <c r="E2" s="175" t="s">
        <v>94</v>
      </c>
      <c r="F2" s="176" t="str">
        <f>FP</f>
        <v>FP-14</v>
      </c>
      <c r="G2" s="177"/>
      <c r="H2" s="177"/>
      <c r="I2" s="177"/>
      <c r="J2" s="178"/>
      <c r="K2" s="1"/>
    </row>
    <row r="3" spans="2:11" ht="15" customHeight="1" x14ac:dyDescent="0.2">
      <c r="B3" s="173"/>
      <c r="C3" s="173"/>
      <c r="D3" s="179"/>
      <c r="E3" s="177"/>
      <c r="F3" s="180"/>
      <c r="G3" s="177"/>
      <c r="H3" s="177"/>
      <c r="I3" s="177"/>
      <c r="J3" s="178"/>
      <c r="K3" s="76"/>
    </row>
    <row r="4" spans="2:11" ht="15" customHeight="1" x14ac:dyDescent="0.2">
      <c r="B4" s="175" t="s">
        <v>107</v>
      </c>
      <c r="C4" s="155" t="str">
        <f>ProjNum</f>
        <v>WA WFL Test(1)</v>
      </c>
      <c r="D4" s="181"/>
      <c r="E4" s="182"/>
      <c r="F4" s="181"/>
      <c r="G4" s="182"/>
      <c r="H4" s="183" t="s">
        <v>1</v>
      </c>
      <c r="I4" s="184">
        <f ca="1">Date</f>
        <v>45469</v>
      </c>
      <c r="J4" s="178"/>
      <c r="K4" s="76"/>
    </row>
    <row r="5" spans="2:11" ht="18" x14ac:dyDescent="0.2">
      <c r="B5" s="175" t="s">
        <v>108</v>
      </c>
      <c r="C5" s="213" t="str">
        <f>ProjName</f>
        <v>Wafflehead Park Road</v>
      </c>
      <c r="D5" s="213"/>
      <c r="E5" s="213"/>
      <c r="F5" s="181"/>
      <c r="G5" s="182"/>
      <c r="H5" s="185" t="s">
        <v>63</v>
      </c>
      <c r="I5" s="186" t="str">
        <f>Units</f>
        <v>US CUSTOMARY</v>
      </c>
      <c r="J5" s="178"/>
      <c r="K5" s="76"/>
    </row>
    <row r="6" spans="2:11" ht="15" customHeight="1" thickBot="1" x14ac:dyDescent="0.25">
      <c r="B6" s="61"/>
      <c r="C6" s="36"/>
      <c r="D6" s="36"/>
      <c r="E6" s="36"/>
      <c r="F6" s="36"/>
      <c r="G6" s="36"/>
      <c r="H6" s="64"/>
      <c r="I6" s="157"/>
      <c r="J6" s="156"/>
    </row>
    <row r="7" spans="2:11" ht="19.5" customHeight="1" thickBot="1" x14ac:dyDescent="0.25">
      <c r="B7" s="208" t="s">
        <v>64</v>
      </c>
      <c r="C7" s="208"/>
      <c r="D7" s="208"/>
      <c r="E7" s="208"/>
      <c r="F7" s="208"/>
      <c r="G7" s="208"/>
      <c r="H7" s="208"/>
      <c r="I7" s="208"/>
      <c r="J7" s="212"/>
    </row>
    <row r="8" spans="2:11" ht="15" customHeight="1" x14ac:dyDescent="0.2">
      <c r="B8" s="61"/>
      <c r="C8" s="36"/>
      <c r="D8" s="51" t="s">
        <v>133</v>
      </c>
      <c r="E8" s="51" t="s">
        <v>134</v>
      </c>
      <c r="F8" s="51" t="s">
        <v>135</v>
      </c>
      <c r="G8" s="51" t="s">
        <v>136</v>
      </c>
      <c r="H8" s="51" t="s">
        <v>137</v>
      </c>
      <c r="I8" s="51" t="s">
        <v>138</v>
      </c>
      <c r="J8" s="158"/>
      <c r="K8" s="76"/>
    </row>
    <row r="9" spans="2:11" ht="15" customHeight="1" x14ac:dyDescent="0.2">
      <c r="B9" s="70"/>
      <c r="C9" s="159" t="s">
        <v>65</v>
      </c>
      <c r="D9" s="50" t="str" cm="1">
        <f t="array" aca="1" ref="D9" ca="1">IFERROR(INDIRECT(D$8&amp;"!SchedType"),"")</f>
        <v>Base</v>
      </c>
      <c r="E9" s="50" t="str" cm="1">
        <f t="array" aca="1" ref="E9" ca="1">IFERROR(INDIRECT(E$8&amp;"!SchedType"),"")</f>
        <v>Base</v>
      </c>
      <c r="F9" s="50" t="str" cm="1">
        <f t="array" aca="1" ref="F9" ca="1">IFERROR(INDIRECT(F$8&amp;"!SchedType"),"")</f>
        <v>Base</v>
      </c>
      <c r="G9" s="50" t="str" cm="1">
        <f t="array" aca="1" ref="G9" ca="1">IFERROR(INDIRECT(G$8&amp;"!SchedType"),"")</f>
        <v>Option</v>
      </c>
      <c r="H9" s="50" t="str" cm="1">
        <f t="array" aca="1" ref="H9" ca="1">IFERROR(INDIRECT(H$8&amp;"!SchedType"),"")</f>
        <v>Option</v>
      </c>
      <c r="I9" s="50" t="str" cm="1">
        <f t="array" aca="1" ref="I9" ca="1">IFERROR(INDIRECT(I$8&amp;"!SchedType"),"")</f>
        <v>Option</v>
      </c>
      <c r="J9" s="124"/>
      <c r="K9" s="76"/>
    </row>
    <row r="10" spans="2:11" ht="18" x14ac:dyDescent="0.2">
      <c r="B10" s="70"/>
      <c r="C10" s="70"/>
      <c r="D10" s="50" t="str" cm="1">
        <f t="array" aca="1" ref="D10" ca="1">IFERROR(INDIRECT(D$8&amp;"!SchedLet"),"")</f>
        <v>A</v>
      </c>
      <c r="E10" s="50" t="str" cm="1">
        <f t="array" aca="1" ref="E10" ca="1">IFERROR(INDIRECT(E$8&amp;"!SchedLet"),"")</f>
        <v>B</v>
      </c>
      <c r="F10" s="50" t="str" cm="1">
        <f t="array" aca="1" ref="F10" ca="1">IFERROR(INDIRECT(F$8&amp;"!SchedLet"),"")</f>
        <v>C</v>
      </c>
      <c r="G10" s="50" t="str" cm="1">
        <f t="array" aca="1" ref="G10" ca="1">IFERROR(INDIRECT(G$8&amp;"!SchedLet"),"")</f>
        <v>X</v>
      </c>
      <c r="H10" s="50" t="str" cm="1">
        <f t="array" aca="1" ref="H10" ca="1">IFERROR(INDIRECT(H$8&amp;"!SchedLet"),"")</f>
        <v>Y</v>
      </c>
      <c r="I10" s="50" t="str" cm="1">
        <f t="array" aca="1" ref="I10" ca="1">IFERROR(INDIRECT(I$8&amp;"!SchedLet"),"")</f>
        <v>Z</v>
      </c>
      <c r="J10" s="160" t="s">
        <v>66</v>
      </c>
      <c r="K10" s="76"/>
    </row>
    <row r="11" spans="2:11" ht="18" x14ac:dyDescent="0.2">
      <c r="B11" s="161" t="s">
        <v>67</v>
      </c>
      <c r="C11" s="162"/>
      <c r="D11" s="187"/>
      <c r="E11" s="187"/>
      <c r="F11" s="187"/>
      <c r="G11" s="187"/>
      <c r="H11" s="187"/>
      <c r="I11" s="187"/>
      <c r="J11" s="188">
        <f>SUM(D11:I11)</f>
        <v>0</v>
      </c>
      <c r="K11" s="76"/>
    </row>
    <row r="12" spans="2:11" ht="18" x14ac:dyDescent="0.2">
      <c r="B12" s="163" t="s">
        <v>68</v>
      </c>
      <c r="C12" s="164"/>
      <c r="D12" s="189"/>
      <c r="E12" s="189"/>
      <c r="F12" s="189"/>
      <c r="G12" s="189"/>
      <c r="H12" s="189"/>
      <c r="I12" s="189"/>
      <c r="J12" s="190">
        <f>SUM(D12:I12)</f>
        <v>0</v>
      </c>
      <c r="K12" s="76"/>
    </row>
    <row r="13" spans="2:11" ht="18" x14ac:dyDescent="0.2">
      <c r="B13" s="165" t="s">
        <v>69</v>
      </c>
      <c r="C13" s="166"/>
      <c r="D13" s="191" t="str">
        <f>IF(ISNUMBER(D11),SUM(D11,D12),"– ")</f>
        <v>– </v>
      </c>
      <c r="E13" s="191" t="str">
        <f t="shared" ref="E13:J13" si="0">IF(ISNUMBER(E11),SUM(E11,E12),"– ")</f>
        <v>– </v>
      </c>
      <c r="F13" s="191" t="str">
        <f t="shared" si="0"/>
        <v>– </v>
      </c>
      <c r="G13" s="191" t="str">
        <f t="shared" si="0"/>
        <v>– </v>
      </c>
      <c r="H13" s="191" t="str">
        <f t="shared" si="0"/>
        <v>– </v>
      </c>
      <c r="I13" s="191" t="str">
        <f t="shared" si="0"/>
        <v>– </v>
      </c>
      <c r="J13" s="191">
        <f t="shared" si="0"/>
        <v>0</v>
      </c>
      <c r="K13" s="76"/>
    </row>
    <row r="14" spans="2:11" ht="18" x14ac:dyDescent="0.2">
      <c r="B14" s="167"/>
      <c r="C14" s="124"/>
      <c r="D14" s="192"/>
      <c r="E14" s="192"/>
      <c r="F14" s="192"/>
      <c r="G14" s="192"/>
      <c r="H14" s="192"/>
      <c r="I14" s="192"/>
      <c r="J14" s="192"/>
      <c r="K14" s="76"/>
    </row>
    <row r="15" spans="2:11" ht="18" x14ac:dyDescent="0.2">
      <c r="B15" s="168" t="s">
        <v>70</v>
      </c>
      <c r="C15" s="162"/>
      <c r="D15" s="188" cm="1">
        <f t="array" aca="1" ref="D15" ca="1">IFERROR(INDIRECT(D$8&amp;"!"&amp;_xlfn.TEXTAFTER(_xlfn.TEXTBEFORE($B15," ",2)," ")),"")</f>
        <v>0</v>
      </c>
      <c r="E15" s="188" cm="1">
        <f t="array" aca="1" ref="E15" ca="1">IFERROR(INDIRECT(E$8&amp;"!"&amp;_xlfn.TEXTAFTER(_xlfn.TEXTBEFORE($B15," ",2)," ")),"")</f>
        <v>0</v>
      </c>
      <c r="F15" s="188" cm="1">
        <f t="array" aca="1" ref="F15" ca="1">IFERROR(INDIRECT(F$8&amp;"!"&amp;_xlfn.TEXTAFTER(_xlfn.TEXTBEFORE($B15," ",2)," ")),"")</f>
        <v>0</v>
      </c>
      <c r="G15" s="188" cm="1">
        <f t="array" aca="1" ref="G15" ca="1">IFERROR(INDIRECT(G$8&amp;"!"&amp;_xlfn.TEXTAFTER(_xlfn.TEXTBEFORE($B15," ",2)," ")),"")</f>
        <v>0</v>
      </c>
      <c r="H15" s="188" cm="1">
        <f t="array" aca="1" ref="H15" ca="1">IFERROR(INDIRECT(H$8&amp;"!"&amp;_xlfn.TEXTAFTER(_xlfn.TEXTBEFORE($B15," ",2)," ")),"")</f>
        <v>0</v>
      </c>
      <c r="I15" s="188" cm="1">
        <f t="array" aca="1" ref="I15" ca="1">IFERROR(INDIRECT(I$8&amp;"!"&amp;_xlfn.TEXTAFTER(_xlfn.TEXTBEFORE($B15," ",2)," ")),"")</f>
        <v>0</v>
      </c>
      <c r="J15" s="188">
        <f ca="1">SUM(D15:I15)</f>
        <v>0</v>
      </c>
      <c r="K15" s="76"/>
    </row>
    <row r="16" spans="2:11" ht="18" x14ac:dyDescent="0.2">
      <c r="B16" s="169" t="s">
        <v>71</v>
      </c>
      <c r="C16" s="170"/>
      <c r="D16" s="188" cm="1">
        <f t="array" aca="1" ref="D16" ca="1">IFERROR(INDIRECT(D$8&amp;"!"&amp;_xlfn.TEXTAFTER(_xlfn.TEXTBEFORE($B16," ",2)," ")),"")</f>
        <v>0</v>
      </c>
      <c r="E16" s="188" cm="1">
        <f t="array" aca="1" ref="E16" ca="1">IFERROR(INDIRECT(E$8&amp;"!"&amp;_xlfn.TEXTAFTER(_xlfn.TEXTBEFORE($B16," ",2)," ")),"")</f>
        <v>0</v>
      </c>
      <c r="F16" s="188" cm="1">
        <f t="array" aca="1" ref="F16" ca="1">IFERROR(INDIRECT(F$8&amp;"!"&amp;_xlfn.TEXTAFTER(_xlfn.TEXTBEFORE($B16," ",2)," ")),"")</f>
        <v>0</v>
      </c>
      <c r="G16" s="188" cm="1">
        <f t="array" aca="1" ref="G16" ca="1">IFERROR(INDIRECT(G$8&amp;"!"&amp;_xlfn.TEXTAFTER(_xlfn.TEXTBEFORE($B16," ",2)," ")),"")</f>
        <v>0</v>
      </c>
      <c r="H16" s="188" cm="1">
        <f t="array" aca="1" ref="H16" ca="1">IFERROR(INDIRECT(H$8&amp;"!"&amp;_xlfn.TEXTAFTER(_xlfn.TEXTBEFORE($B16," ",2)," ")),"")</f>
        <v>0</v>
      </c>
      <c r="I16" s="188" cm="1">
        <f t="array" aca="1" ref="I16" ca="1">IFERROR(INDIRECT(I$8&amp;"!"&amp;_xlfn.TEXTAFTER(_xlfn.TEXTBEFORE($B16," ",2)," ")),"")</f>
        <v>0</v>
      </c>
      <c r="J16" s="193">
        <f ca="1">SUM(D16:I16)</f>
        <v>0</v>
      </c>
      <c r="K16" s="76"/>
    </row>
    <row r="17" spans="2:11" ht="18" x14ac:dyDescent="0.2">
      <c r="B17" s="169" t="s">
        <v>72</v>
      </c>
      <c r="C17" s="170"/>
      <c r="D17" s="188" cm="1">
        <f t="array" aca="1" ref="D17" ca="1">IFERROR(INDIRECT(D$8&amp;"!"&amp;_xlfn.TEXTAFTER(_xlfn.TEXTBEFORE($B17," ",2)," ")),"")</f>
        <v>0</v>
      </c>
      <c r="E17" s="188" cm="1">
        <f t="array" aca="1" ref="E17" ca="1">IFERROR(INDIRECT(E$8&amp;"!"&amp;_xlfn.TEXTAFTER(_xlfn.TEXTBEFORE($B17," ",2)," ")),"")</f>
        <v>0</v>
      </c>
      <c r="F17" s="188" cm="1">
        <f t="array" aca="1" ref="F17" ca="1">IFERROR(INDIRECT(F$8&amp;"!"&amp;_xlfn.TEXTAFTER(_xlfn.TEXTBEFORE($B17," ",2)," ")),"")</f>
        <v>0</v>
      </c>
      <c r="G17" s="188" cm="1">
        <f t="array" aca="1" ref="G17" ca="1">IFERROR(INDIRECT(G$8&amp;"!"&amp;_xlfn.TEXTAFTER(_xlfn.TEXTBEFORE($B17," ",2)," ")),"")</f>
        <v>0</v>
      </c>
      <c r="H17" s="188" cm="1">
        <f t="array" aca="1" ref="H17" ca="1">IFERROR(INDIRECT(H$8&amp;"!"&amp;_xlfn.TEXTAFTER(_xlfn.TEXTBEFORE($B17," ",2)," ")),"")</f>
        <v>0</v>
      </c>
      <c r="I17" s="188" cm="1">
        <f t="array" aca="1" ref="I17" ca="1">IFERROR(INDIRECT(I$8&amp;"!"&amp;_xlfn.TEXTAFTER(_xlfn.TEXTBEFORE($B17," ",2)," ")),"")</f>
        <v>0</v>
      </c>
      <c r="J17" s="193">
        <f ca="1">SUM(D17:I17)</f>
        <v>0</v>
      </c>
      <c r="K17" s="76"/>
    </row>
    <row r="18" spans="2:11" ht="18" x14ac:dyDescent="0.2">
      <c r="B18" s="169" t="s">
        <v>73</v>
      </c>
      <c r="C18" s="170"/>
      <c r="D18" s="188" cm="1">
        <f t="array" aca="1" ref="D18" ca="1">IFERROR(INDIRECT(D$8&amp;"!"&amp;_xlfn.TEXTAFTER(_xlfn.TEXTBEFORE($B18," ",2)," ")),"")</f>
        <v>0</v>
      </c>
      <c r="E18" s="188" cm="1">
        <f t="array" aca="1" ref="E18" ca="1">IFERROR(INDIRECT(E$8&amp;"!"&amp;_xlfn.TEXTAFTER(_xlfn.TEXTBEFORE($B18," ",2)," ")),"")</f>
        <v>0</v>
      </c>
      <c r="F18" s="188" cm="1">
        <f t="array" aca="1" ref="F18" ca="1">IFERROR(INDIRECT(F$8&amp;"!"&amp;_xlfn.TEXTAFTER(_xlfn.TEXTBEFORE($B18," ",2)," ")),"")</f>
        <v>0</v>
      </c>
      <c r="G18" s="188" cm="1">
        <f t="array" aca="1" ref="G18" ca="1">IFERROR(INDIRECT(G$8&amp;"!"&amp;_xlfn.TEXTAFTER(_xlfn.TEXTBEFORE($B18," ",2)," ")),"")</f>
        <v>0</v>
      </c>
      <c r="H18" s="188" cm="1">
        <f t="array" aca="1" ref="H18" ca="1">IFERROR(INDIRECT(H$8&amp;"!"&amp;_xlfn.TEXTAFTER(_xlfn.TEXTBEFORE($B18," ",2)," ")),"")</f>
        <v>0</v>
      </c>
      <c r="I18" s="188" cm="1">
        <f t="array" aca="1" ref="I18" ca="1">IFERROR(INDIRECT(I$8&amp;"!"&amp;_xlfn.TEXTAFTER(_xlfn.TEXTBEFORE($B18," ",2)," ")),"")</f>
        <v>0</v>
      </c>
      <c r="J18" s="193">
        <f ca="1">SUM(D18:I18)</f>
        <v>0</v>
      </c>
      <c r="K18" s="76"/>
    </row>
    <row r="19" spans="2:11" ht="18" x14ac:dyDescent="0.2">
      <c r="B19" s="171" t="s">
        <v>74</v>
      </c>
      <c r="C19" s="164"/>
      <c r="D19" s="189">
        <v>5000</v>
      </c>
      <c r="E19" s="189"/>
      <c r="F19" s="189"/>
      <c r="G19" s="189"/>
      <c r="H19" s="189"/>
      <c r="I19" s="189"/>
      <c r="J19" s="190">
        <f>SUM(D19:I19)</f>
        <v>5000</v>
      </c>
      <c r="K19" s="76"/>
    </row>
    <row r="20" spans="2:11" ht="18" x14ac:dyDescent="0.2">
      <c r="B20" s="165" t="s">
        <v>75</v>
      </c>
      <c r="C20" s="166"/>
      <c r="D20" s="191" t="str">
        <f>IF(ISNUMBER(D11),SUM(D15:D19),"– ")</f>
        <v>– </v>
      </c>
      <c r="E20" s="191" t="str">
        <f t="shared" ref="E20:I20" si="1">IF(ISNUMBER(E11),SUM(E15:E19),"– ")</f>
        <v>– </v>
      </c>
      <c r="F20" s="191" t="str">
        <f t="shared" si="1"/>
        <v>– </v>
      </c>
      <c r="G20" s="191" t="str">
        <f t="shared" si="1"/>
        <v>– </v>
      </c>
      <c r="H20" s="191" t="str">
        <f t="shared" si="1"/>
        <v>– </v>
      </c>
      <c r="I20" s="191" t="str">
        <f t="shared" si="1"/>
        <v>– </v>
      </c>
      <c r="J20" s="191">
        <f ca="1">IF(ISNUMBER(J11),SUM(J15:J19),"-")</f>
        <v>5000</v>
      </c>
      <c r="K20" s="76"/>
    </row>
    <row r="21" spans="2:11" ht="19.5" customHeight="1" thickBot="1" x14ac:dyDescent="0.25">
      <c r="B21" s="172"/>
      <c r="C21" s="124"/>
      <c r="D21" s="192"/>
      <c r="E21" s="192"/>
      <c r="F21" s="192"/>
      <c r="G21" s="192"/>
      <c r="H21" s="192"/>
      <c r="I21" s="192"/>
      <c r="J21" s="192"/>
    </row>
    <row r="22" spans="2:11" ht="32.25" customHeight="1" thickBot="1" x14ac:dyDescent="0.25">
      <c r="B22" s="52" t="s">
        <v>76</v>
      </c>
      <c r="C22" s="53"/>
      <c r="D22" s="194" t="str">
        <f>IF(ISNUMBER(D11),SUM(D13,D20),"– ")</f>
        <v>– </v>
      </c>
      <c r="E22" s="194" t="str">
        <f t="shared" ref="E22:J22" si="2">IF(ISNUMBER(E11),SUM(E13,E20),"– ")</f>
        <v>– </v>
      </c>
      <c r="F22" s="194" t="str">
        <f t="shared" si="2"/>
        <v>– </v>
      </c>
      <c r="G22" s="194" t="str">
        <f t="shared" si="2"/>
        <v>– </v>
      </c>
      <c r="H22" s="194" t="str">
        <f t="shared" si="2"/>
        <v>– </v>
      </c>
      <c r="I22" s="194" t="str">
        <f t="shared" si="2"/>
        <v>– </v>
      </c>
      <c r="J22" s="195">
        <f t="shared" ca="1" si="2"/>
        <v>5000</v>
      </c>
    </row>
  </sheetData>
  <mergeCells count="3">
    <mergeCell ref="B7:J7"/>
    <mergeCell ref="C5:E5"/>
    <mergeCell ref="B1:J1"/>
  </mergeCells>
  <phoneticPr fontId="13" type="noConversion"/>
  <pageMargins left="0.5" right="0.5" top="0.75" bottom="0.75" header="0.3" footer="0.3"/>
  <pageSetup scale="89" orientation="landscape" r:id="rId1"/>
  <headerFooter>
    <oddFooter>&amp;RRev. 02-08-2019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9A1D91B3936247B027D354A3E30ADF" ma:contentTypeVersion="4" ma:contentTypeDescription="Create a new document." ma:contentTypeScope="" ma:versionID="cf7ff59b999e6c9205bc2bb2782239c0">
  <xsd:schema xmlns:xsd="http://www.w3.org/2001/XMLSchema" xmlns:xs="http://www.w3.org/2001/XMLSchema" xmlns:p="http://schemas.microsoft.com/office/2006/metadata/properties" xmlns:ns2="c5188a08-a108-4a71-86f1-32748900f3f1" targetNamespace="http://schemas.microsoft.com/office/2006/metadata/properties" ma:root="true" ma:fieldsID="2e9500b8ea90bac3a9a61e81ae82fbf9" ns2:_="">
    <xsd:import namespace="c5188a08-a108-4a71-86f1-32748900f3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188a08-a108-4a71-86f1-32748900f3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A59971-9F64-497F-BC6D-F02E395C9BB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22B62C-5182-4853-883A-43857759D0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E3BA4D-235F-4342-8E6A-1E6F5A5526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188a08-a108-4a71-86f1-32748900f3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67</vt:i4>
      </vt:variant>
    </vt:vector>
  </HeadingPairs>
  <TitlesOfParts>
    <vt:vector size="74" baseType="lpstr">
      <vt:lpstr>Schedule1</vt:lpstr>
      <vt:lpstr>Schedule2</vt:lpstr>
      <vt:lpstr>Schedule3</vt:lpstr>
      <vt:lpstr>Schedule4</vt:lpstr>
      <vt:lpstr>Schedule5</vt:lpstr>
      <vt:lpstr>Schedule6</vt:lpstr>
      <vt:lpstr>Acquisition Incentive Summary</vt:lpstr>
      <vt:lpstr>Schedule1!Asphalt</vt:lpstr>
      <vt:lpstr>Schedule2!Asphalt</vt:lpstr>
      <vt:lpstr>Schedule3!Asphalt</vt:lpstr>
      <vt:lpstr>Schedule4!Asphalt</vt:lpstr>
      <vt:lpstr>Schedule5!Asphalt</vt:lpstr>
      <vt:lpstr>Schedule6!Asphalt</vt:lpstr>
      <vt:lpstr>Date</vt:lpstr>
      <vt:lpstr>FP</vt:lpstr>
      <vt:lpstr>Schedule1!Fuel</vt:lpstr>
      <vt:lpstr>Schedule2!Fuel</vt:lpstr>
      <vt:lpstr>Schedule3!Fuel</vt:lpstr>
      <vt:lpstr>Schedule4!Fuel</vt:lpstr>
      <vt:lpstr>Schedule5!Fuel</vt:lpstr>
      <vt:lpstr>Schedule6!Fuel</vt:lpstr>
      <vt:lpstr>Fuel204a</vt:lpstr>
      <vt:lpstr>Fuel204b</vt:lpstr>
      <vt:lpstr>Fuel301</vt:lpstr>
      <vt:lpstr>Fuel302</vt:lpstr>
      <vt:lpstr>Fuel308</vt:lpstr>
      <vt:lpstr>Fuel309</vt:lpstr>
      <vt:lpstr>Fuel310</vt:lpstr>
      <vt:lpstr>Fuel311</vt:lpstr>
      <vt:lpstr>Fuel401</vt:lpstr>
      <vt:lpstr>Fuel402</vt:lpstr>
      <vt:lpstr>Fuel403</vt:lpstr>
      <vt:lpstr>Fuel404</vt:lpstr>
      <vt:lpstr>Fuel405</vt:lpstr>
      <vt:lpstr>Fuel408</vt:lpstr>
      <vt:lpstr>Fuel501</vt:lpstr>
      <vt:lpstr>Schedule1!Material</vt:lpstr>
      <vt:lpstr>Schedule2!Material</vt:lpstr>
      <vt:lpstr>Schedule3!Material</vt:lpstr>
      <vt:lpstr>Schedule4!Material</vt:lpstr>
      <vt:lpstr>Schedule5!Material</vt:lpstr>
      <vt:lpstr>Schedule6!Material</vt:lpstr>
      <vt:lpstr>Materials1</vt:lpstr>
      <vt:lpstr>Materials2</vt:lpstr>
      <vt:lpstr>Materials3</vt:lpstr>
      <vt:lpstr>'Acquisition Incentive Summary'!Print_Area</vt:lpstr>
      <vt:lpstr>Schedule1!Print_Area</vt:lpstr>
      <vt:lpstr>Schedule2!Print_Area</vt:lpstr>
      <vt:lpstr>Schedule3!Print_Area</vt:lpstr>
      <vt:lpstr>Schedule4!Print_Area</vt:lpstr>
      <vt:lpstr>Schedule5!Print_Area</vt:lpstr>
      <vt:lpstr>Schedule6!Print_Area</vt:lpstr>
      <vt:lpstr>ProjName</vt:lpstr>
      <vt:lpstr>ProjNum</vt:lpstr>
      <vt:lpstr>Rough</vt:lpstr>
      <vt:lpstr>Schedule1!Roughness</vt:lpstr>
      <vt:lpstr>Schedule2!Roughness</vt:lpstr>
      <vt:lpstr>Schedule3!Roughness</vt:lpstr>
      <vt:lpstr>Schedule4!Roughness</vt:lpstr>
      <vt:lpstr>Schedule5!Roughness</vt:lpstr>
      <vt:lpstr>Schedule6!Roughness</vt:lpstr>
      <vt:lpstr>Schedule2!SchedLet</vt:lpstr>
      <vt:lpstr>Schedule3!SchedLet</vt:lpstr>
      <vt:lpstr>Schedule4!SchedLet</vt:lpstr>
      <vt:lpstr>Schedule5!SchedLet</vt:lpstr>
      <vt:lpstr>Schedule6!SchedLet</vt:lpstr>
      <vt:lpstr>SchedLet</vt:lpstr>
      <vt:lpstr>Schedule2!SchedType</vt:lpstr>
      <vt:lpstr>Schedule3!SchedType</vt:lpstr>
      <vt:lpstr>Schedule4!SchedType</vt:lpstr>
      <vt:lpstr>Schedule5!SchedType</vt:lpstr>
      <vt:lpstr>Schedule6!SchedType</vt:lpstr>
      <vt:lpstr>SchedType</vt:lpstr>
      <vt:lpstr>Units</vt:lpstr>
    </vt:vector>
  </TitlesOfParts>
  <Manager/>
  <Company>DOT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Kwock</dc:creator>
  <cp:keywords/>
  <dc:description/>
  <cp:lastModifiedBy>Chapman, Stephen (FHWA)</cp:lastModifiedBy>
  <cp:revision/>
  <cp:lastPrinted>2024-06-26T00:04:38Z</cp:lastPrinted>
  <dcterms:created xsi:type="dcterms:W3CDTF">2013-04-09T17:16:13Z</dcterms:created>
  <dcterms:modified xsi:type="dcterms:W3CDTF">2024-06-26T13:58:47Z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0x010100339A1D91B3936247B027D354A3E30ADF</vt:lpwstr>
  </property>
  <property fmtid="{D5CDD505-2E9C-101B-9397-08002B2CF9AE}" pid="3" name="Folder_Number">
    <vt:lpwstr/>
  </property>
  <property fmtid="{D5CDD505-2E9C-101B-9397-08002B2CF9AE}" pid="4" name="Folder_Code">
    <vt:lpwstr/>
  </property>
  <property fmtid="{D5CDD505-2E9C-101B-9397-08002B2CF9AE}" pid="5" name="Folder_Name">
    <vt:lpwstr/>
  </property>
  <property fmtid="{D5CDD505-2E9C-101B-9397-08002B2CF9AE}" pid="6" name="Folder_Description">
    <vt:lpwstr/>
  </property>
  <property fmtid="{D5CDD505-2E9C-101B-9397-08002B2CF9AE}" pid="7" name="/Folder_Name/">
    <vt:lpwstr/>
  </property>
  <property fmtid="{D5CDD505-2E9C-101B-9397-08002B2CF9AE}" pid="8" name="/Folder_Description/">
    <vt:lpwstr/>
  </property>
  <property fmtid="{D5CDD505-2E9C-101B-9397-08002B2CF9AE}" pid="9" name="Folder_Version">
    <vt:lpwstr/>
  </property>
  <property fmtid="{D5CDD505-2E9C-101B-9397-08002B2CF9AE}" pid="10" name="Folder_VersionSeq">
    <vt:lpwstr/>
  </property>
  <property fmtid="{D5CDD505-2E9C-101B-9397-08002B2CF9AE}" pid="11" name="Folder_Manager">
    <vt:lpwstr/>
  </property>
  <property fmtid="{D5CDD505-2E9C-101B-9397-08002B2CF9AE}" pid="12" name="Folder_ManagerDesc">
    <vt:lpwstr/>
  </property>
  <property fmtid="{D5CDD505-2E9C-101B-9397-08002B2CF9AE}" pid="13" name="Folder_Storage">
    <vt:lpwstr/>
  </property>
  <property fmtid="{D5CDD505-2E9C-101B-9397-08002B2CF9AE}" pid="14" name="Folder_StorageDesc">
    <vt:lpwstr/>
  </property>
  <property fmtid="{D5CDD505-2E9C-101B-9397-08002B2CF9AE}" pid="15" name="Folder_Creator">
    <vt:lpwstr/>
  </property>
  <property fmtid="{D5CDD505-2E9C-101B-9397-08002B2CF9AE}" pid="16" name="Folder_CreatorDesc">
    <vt:lpwstr/>
  </property>
  <property fmtid="{D5CDD505-2E9C-101B-9397-08002B2CF9AE}" pid="17" name="Folder_CreateDate">
    <vt:lpwstr/>
  </property>
  <property fmtid="{D5CDD505-2E9C-101B-9397-08002B2CF9AE}" pid="18" name="Folder_Updater">
    <vt:lpwstr/>
  </property>
  <property fmtid="{D5CDD505-2E9C-101B-9397-08002B2CF9AE}" pid="19" name="Folder_UpdaterDesc">
    <vt:lpwstr/>
  </property>
  <property fmtid="{D5CDD505-2E9C-101B-9397-08002B2CF9AE}" pid="20" name="Folder_UpdateDate">
    <vt:lpwstr/>
  </property>
  <property fmtid="{D5CDD505-2E9C-101B-9397-08002B2CF9AE}" pid="21" name="Document_Number">
    <vt:lpwstr/>
  </property>
  <property fmtid="{D5CDD505-2E9C-101B-9397-08002B2CF9AE}" pid="22" name="Document_Name">
    <vt:lpwstr/>
  </property>
  <property fmtid="{D5CDD505-2E9C-101B-9397-08002B2CF9AE}" pid="23" name="Document_FileName">
    <vt:lpwstr/>
  </property>
  <property fmtid="{D5CDD505-2E9C-101B-9397-08002B2CF9AE}" pid="24" name="Document_Version">
    <vt:lpwstr/>
  </property>
  <property fmtid="{D5CDD505-2E9C-101B-9397-08002B2CF9AE}" pid="25" name="Document_VersionSeq">
    <vt:lpwstr/>
  </property>
  <property fmtid="{D5CDD505-2E9C-101B-9397-08002B2CF9AE}" pid="26" name="Document_Creator">
    <vt:lpwstr/>
  </property>
  <property fmtid="{D5CDD505-2E9C-101B-9397-08002B2CF9AE}" pid="27" name="Document_CreatorDesc">
    <vt:lpwstr/>
  </property>
  <property fmtid="{D5CDD505-2E9C-101B-9397-08002B2CF9AE}" pid="28" name="Document_CreateDate">
    <vt:lpwstr/>
  </property>
  <property fmtid="{D5CDD505-2E9C-101B-9397-08002B2CF9AE}" pid="29" name="Document_Updater">
    <vt:lpwstr/>
  </property>
  <property fmtid="{D5CDD505-2E9C-101B-9397-08002B2CF9AE}" pid="30" name="Document_UpdaterDesc">
    <vt:lpwstr/>
  </property>
  <property fmtid="{D5CDD505-2E9C-101B-9397-08002B2CF9AE}" pid="31" name="Document_UpdateDate">
    <vt:lpwstr/>
  </property>
  <property fmtid="{D5CDD505-2E9C-101B-9397-08002B2CF9AE}" pid="32" name="Document_Size">
    <vt:lpwstr/>
  </property>
  <property fmtid="{D5CDD505-2E9C-101B-9397-08002B2CF9AE}" pid="33" name="Document_Storage">
    <vt:lpwstr/>
  </property>
  <property fmtid="{D5CDD505-2E9C-101B-9397-08002B2CF9AE}" pid="34" name="Document_StorageDesc">
    <vt:lpwstr/>
  </property>
  <property fmtid="{D5CDD505-2E9C-101B-9397-08002B2CF9AE}" pid="35" name="Document_Department">
    <vt:lpwstr/>
  </property>
  <property fmtid="{D5CDD505-2E9C-101B-9397-08002B2CF9AE}" pid="36" name="Document_DepartmentDesc">
    <vt:lpwstr/>
  </property>
</Properties>
</file>