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1.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1.xml" ContentType="application/vnd.openxmlformats-officedocument.spreadsheetml.comments+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2.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tables/table17.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L:\HRTM-Contractors\HRTM-20-CTR\Stephanie\Special Projects\04252023 - Spreadsheet Upload\"/>
    </mc:Choice>
  </mc:AlternateContent>
  <xr:revisionPtr revIDLastSave="0" documentId="8_{8D562003-5521-4587-B43B-621E3E2DCE7A}" xr6:coauthVersionLast="47" xr6:coauthVersionMax="47" xr10:uidLastSave="{00000000-0000-0000-0000-000000000000}"/>
  <bookViews>
    <workbookView xWindow="3960" yWindow="2820" windowWidth="21600" windowHeight="11385" xr2:uid="{00000000-000D-0000-FFFF-FFFF00000000}"/>
  </bookViews>
  <sheets>
    <sheet name="Welcome" sheetId="4" r:id="rId1"/>
    <sheet name="Instructions" sheetId="5" r:id="rId2"/>
    <sheet name="PDO" sheetId="2" r:id="rId3"/>
    <sheet name="KABC" sheetId="1" r:id="rId4"/>
    <sheet name="SDF" sheetId="3" r:id="rId5"/>
    <sheet name="Charts" sheetId="6" r:id="rId6"/>
  </sheets>
  <definedNames>
    <definedName name="_xlnm.Print_Area" localSheetId="5">Charts!#REF!</definedName>
    <definedName name="_xlnm.Print_Area" localSheetId="1">Instructions!$A$1:$J$41</definedName>
    <definedName name="_xlnm.Print_Area" localSheetId="3">KABC!$A$1:$K$63</definedName>
    <definedName name="_xlnm.Print_Area" localSheetId="2">PDO!$A$1:$J$51</definedName>
    <definedName name="_xlnm.Print_Area" localSheetId="4">SDF!$A$1:$M$45</definedName>
    <definedName name="_xlnm.Print_Area" localSheetId="0">Welcome!$A$1:$K$19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3" l="1"/>
  <c r="I29" i="3"/>
  <c r="H29" i="3"/>
  <c r="I30" i="3"/>
  <c r="H30" i="3"/>
  <c r="M31" i="3" l="1"/>
  <c r="L31" i="3"/>
  <c r="E32" i="3"/>
  <c r="D32" i="3"/>
  <c r="G31" i="3"/>
  <c r="F31" i="3"/>
  <c r="K31" i="3"/>
  <c r="J31" i="3"/>
  <c r="A22" i="2" l="1"/>
  <c r="A21" i="2"/>
  <c r="A20" i="2"/>
  <c r="A19" i="2"/>
  <c r="A18" i="2"/>
  <c r="A17" i="2"/>
  <c r="E19" i="2"/>
  <c r="E18" i="2"/>
  <c r="B25" i="3" l="1"/>
  <c r="B24" i="3"/>
  <c r="C25" i="1" l="1"/>
  <c r="D25" i="1"/>
  <c r="E25" i="1"/>
  <c r="F25" i="1" s="1"/>
  <c r="G25" i="1"/>
  <c r="H25" i="1"/>
  <c r="M28" i="3"/>
  <c r="L28" i="3"/>
  <c r="M27" i="3"/>
  <c r="L27" i="3"/>
  <c r="K27" i="3"/>
  <c r="J27" i="3"/>
  <c r="K28" i="3"/>
  <c r="J28" i="3"/>
  <c r="I28" i="3"/>
  <c r="H28" i="3"/>
  <c r="I27" i="3"/>
  <c r="H27" i="3"/>
  <c r="G28" i="3"/>
  <c r="F28" i="3"/>
  <c r="G27" i="3"/>
  <c r="F27" i="3"/>
  <c r="E28" i="3"/>
  <c r="D28" i="3"/>
  <c r="E27" i="3"/>
  <c r="D27" i="3"/>
  <c r="C27" i="3"/>
  <c r="B27" i="3"/>
  <c r="C28" i="3"/>
  <c r="B28" i="3"/>
  <c r="B48" i="2" l="1"/>
  <c r="B49" i="2"/>
  <c r="B46" i="2"/>
  <c r="B45" i="2"/>
  <c r="B42" i="2"/>
  <c r="E20" i="2"/>
  <c r="B50" i="2"/>
  <c r="C50" i="2"/>
  <c r="D50" i="2"/>
  <c r="E50" i="2"/>
  <c r="F50" i="2"/>
  <c r="G50" i="2"/>
  <c r="H50" i="2"/>
  <c r="H37" i="1"/>
  <c r="G37" i="1"/>
  <c r="F37" i="1"/>
  <c r="E37" i="1"/>
  <c r="D37" i="1"/>
  <c r="C37" i="1"/>
  <c r="B37" i="1"/>
  <c r="B27" i="1"/>
  <c r="B26" i="1"/>
  <c r="G26" i="1" l="1"/>
  <c r="E26" i="1"/>
  <c r="C26" i="1"/>
  <c r="D26" i="1"/>
  <c r="H26" i="1"/>
  <c r="F26" i="1"/>
  <c r="G27" i="1"/>
  <c r="D27" i="1"/>
  <c r="H27" i="1"/>
  <c r="F27" i="1"/>
  <c r="C27" i="1"/>
  <c r="E27" i="1"/>
  <c r="H14" i="1"/>
  <c r="H36" i="1" s="1"/>
  <c r="G14" i="1"/>
  <c r="G36" i="1" s="1"/>
  <c r="F14" i="1"/>
  <c r="F36" i="1" s="1"/>
  <c r="E14" i="1"/>
  <c r="E36" i="1" s="1"/>
  <c r="D14" i="1"/>
  <c r="D36" i="1" s="1"/>
  <c r="C14" i="1"/>
  <c r="C36" i="1" s="1"/>
  <c r="H13" i="1"/>
  <c r="H35" i="1" s="1"/>
  <c r="G13" i="1"/>
  <c r="G35" i="1" s="1"/>
  <c r="F13" i="1"/>
  <c r="F35" i="1" s="1"/>
  <c r="E13" i="1"/>
  <c r="E35" i="1" s="1"/>
  <c r="D13" i="1"/>
  <c r="D35" i="1" s="1"/>
  <c r="C13" i="1"/>
  <c r="C35" i="1" s="1"/>
  <c r="H12" i="1"/>
  <c r="G12" i="1"/>
  <c r="F12" i="1"/>
  <c r="E12" i="1"/>
  <c r="D12" i="1"/>
  <c r="C12" i="1"/>
  <c r="H11" i="1"/>
  <c r="H30" i="1" s="1"/>
  <c r="G11" i="1"/>
  <c r="G30" i="1" s="1"/>
  <c r="F11" i="1"/>
  <c r="F30" i="1" s="1"/>
  <c r="E11" i="1"/>
  <c r="E30" i="1" s="1"/>
  <c r="D11" i="1"/>
  <c r="D30" i="1" s="1"/>
  <c r="C11" i="1"/>
  <c r="C30" i="1" s="1"/>
  <c r="H10" i="1"/>
  <c r="G10" i="1"/>
  <c r="F10" i="1"/>
  <c r="E10" i="1"/>
  <c r="D10" i="1"/>
  <c r="C10" i="1"/>
  <c r="H9" i="1"/>
  <c r="H29" i="1" s="1"/>
  <c r="G9" i="1"/>
  <c r="G29" i="1" s="1"/>
  <c r="F9" i="1"/>
  <c r="F29" i="1" s="1"/>
  <c r="E9" i="1"/>
  <c r="E29" i="1" s="1"/>
  <c r="D9" i="1"/>
  <c r="D29" i="1" s="1"/>
  <c r="C9" i="1"/>
  <c r="C29" i="1" s="1"/>
  <c r="H8" i="1"/>
  <c r="G8" i="1"/>
  <c r="F8" i="1"/>
  <c r="E8" i="1"/>
  <c r="D8" i="1"/>
  <c r="C8" i="1"/>
  <c r="H7" i="1"/>
  <c r="H34" i="1" s="1"/>
  <c r="G7" i="1"/>
  <c r="G34" i="1" s="1"/>
  <c r="F7" i="1"/>
  <c r="F34" i="1" s="1"/>
  <c r="E7" i="1"/>
  <c r="E34" i="1" s="1"/>
  <c r="D7" i="1"/>
  <c r="D34" i="1" s="1"/>
  <c r="C7" i="1"/>
  <c r="C34" i="1" s="1"/>
  <c r="H6" i="1"/>
  <c r="H33" i="1" s="1"/>
  <c r="G6" i="1"/>
  <c r="G33" i="1" s="1"/>
  <c r="F6" i="1"/>
  <c r="F33" i="1" s="1"/>
  <c r="E6" i="1"/>
  <c r="E33" i="1" s="1"/>
  <c r="D6" i="1"/>
  <c r="D33" i="1" s="1"/>
  <c r="C6" i="1"/>
  <c r="C33" i="1" s="1"/>
  <c r="H5" i="1"/>
  <c r="H32" i="1" s="1"/>
  <c r="G5" i="1"/>
  <c r="G32" i="1" s="1"/>
  <c r="F5" i="1"/>
  <c r="F32" i="1" s="1"/>
  <c r="E5" i="1"/>
  <c r="E32" i="1" s="1"/>
  <c r="D5" i="1"/>
  <c r="D32" i="1" s="1"/>
  <c r="C5" i="1"/>
  <c r="C32" i="1" s="1"/>
  <c r="H4" i="1"/>
  <c r="H31" i="1" s="1"/>
  <c r="G4" i="1"/>
  <c r="G31" i="1" s="1"/>
  <c r="F4" i="1"/>
  <c r="F31" i="1" s="1"/>
  <c r="E4" i="1"/>
  <c r="E31" i="1" s="1"/>
  <c r="D4" i="1"/>
  <c r="D31" i="1" s="1"/>
  <c r="C4" i="1"/>
  <c r="C31" i="1" s="1"/>
  <c r="B5" i="1"/>
  <c r="B32" i="1" s="1"/>
  <c r="B6" i="1"/>
  <c r="B33" i="1" s="1"/>
  <c r="B7" i="1"/>
  <c r="B34" i="1" s="1"/>
  <c r="B8" i="1"/>
  <c r="B9" i="1"/>
  <c r="B29" i="1" s="1"/>
  <c r="B10" i="1"/>
  <c r="B11" i="1"/>
  <c r="B30" i="1" s="1"/>
  <c r="B12" i="1"/>
  <c r="B13" i="1"/>
  <c r="B35" i="1" s="1"/>
  <c r="B14" i="1"/>
  <c r="B36" i="1" s="1"/>
  <c r="B4" i="1"/>
  <c r="B31" i="1" s="1"/>
  <c r="H49" i="2"/>
  <c r="H48" i="2"/>
  <c r="H47" i="2"/>
  <c r="H46" i="2"/>
  <c r="H45" i="2"/>
  <c r="H44" i="2"/>
  <c r="H43" i="2"/>
  <c r="H42" i="2"/>
  <c r="G49" i="2"/>
  <c r="G48" i="2"/>
  <c r="G47" i="2"/>
  <c r="G46" i="2"/>
  <c r="G45" i="2"/>
  <c r="G44" i="2"/>
  <c r="G43" i="2"/>
  <c r="G42" i="2"/>
  <c r="F49" i="2"/>
  <c r="F48" i="2"/>
  <c r="F47" i="2"/>
  <c r="F46" i="2"/>
  <c r="F45" i="2"/>
  <c r="F44" i="2"/>
  <c r="F43" i="2"/>
  <c r="F42" i="2"/>
  <c r="E49" i="2"/>
  <c r="E48" i="2"/>
  <c r="E47" i="2"/>
  <c r="E46" i="2"/>
  <c r="E45" i="2"/>
  <c r="E44" i="2"/>
  <c r="E43" i="2"/>
  <c r="E42" i="2"/>
  <c r="D49" i="2"/>
  <c r="D48" i="2"/>
  <c r="D47" i="2"/>
  <c r="D46" i="2"/>
  <c r="D45" i="2"/>
  <c r="D44" i="2"/>
  <c r="D43" i="2"/>
  <c r="D42" i="2"/>
  <c r="C45" i="2"/>
  <c r="C46" i="2"/>
  <c r="C47" i="2"/>
  <c r="C49" i="2"/>
  <c r="C48" i="2"/>
  <c r="C42" i="2"/>
  <c r="C44" i="2"/>
  <c r="C43" i="2"/>
  <c r="B47" i="2"/>
  <c r="B44" i="2"/>
  <c r="B43" i="2"/>
  <c r="H40" i="2"/>
  <c r="G40" i="2"/>
  <c r="F40" i="2"/>
  <c r="E40" i="2"/>
  <c r="D40" i="2"/>
  <c r="C40" i="2"/>
  <c r="H39" i="2"/>
  <c r="G39" i="2"/>
  <c r="F39" i="2"/>
  <c r="E39" i="2"/>
  <c r="D39" i="2"/>
  <c r="C39" i="2"/>
  <c r="B38" i="2"/>
  <c r="B41" i="2" s="1"/>
  <c r="M37" i="3"/>
  <c r="L37" i="3"/>
  <c r="M36" i="3"/>
  <c r="L36" i="3"/>
  <c r="M35" i="3"/>
  <c r="L35" i="3"/>
  <c r="L34" i="3"/>
  <c r="M33" i="3"/>
  <c r="L33" i="3"/>
  <c r="L26" i="3"/>
  <c r="L25" i="3"/>
  <c r="L24" i="3"/>
  <c r="K37" i="3"/>
  <c r="J37" i="3"/>
  <c r="K36" i="3"/>
  <c r="J36" i="3"/>
  <c r="K35" i="3"/>
  <c r="J35" i="3"/>
  <c r="J34" i="3"/>
  <c r="K33" i="3"/>
  <c r="J33" i="3"/>
  <c r="J26" i="3"/>
  <c r="J25" i="3"/>
  <c r="K24" i="3"/>
  <c r="J24" i="3"/>
  <c r="I37" i="3"/>
  <c r="H37" i="3"/>
  <c r="I36" i="3"/>
  <c r="H36" i="3"/>
  <c r="I35" i="3"/>
  <c r="H35" i="3"/>
  <c r="H34" i="3"/>
  <c r="H33" i="3"/>
  <c r="I33" i="3"/>
  <c r="H26" i="3"/>
  <c r="H25" i="3"/>
  <c r="H24" i="3"/>
  <c r="G37" i="3"/>
  <c r="F37" i="3"/>
  <c r="G36" i="3"/>
  <c r="F36" i="3"/>
  <c r="G35" i="3"/>
  <c r="F35" i="3"/>
  <c r="F34" i="3"/>
  <c r="G33" i="3"/>
  <c r="F33" i="3"/>
  <c r="F26" i="3"/>
  <c r="F25" i="3"/>
  <c r="E37" i="3"/>
  <c r="D37" i="3"/>
  <c r="E36" i="3"/>
  <c r="D36" i="3"/>
  <c r="E35" i="3"/>
  <c r="D35" i="3"/>
  <c r="D34" i="3"/>
  <c r="E33" i="3"/>
  <c r="D33" i="3"/>
  <c r="D26" i="3"/>
  <c r="D25" i="3"/>
  <c r="D24" i="3"/>
  <c r="L38" i="3" l="1"/>
  <c r="K38" i="3"/>
  <c r="J38" i="3"/>
  <c r="D38" i="3"/>
  <c r="H38" i="3"/>
  <c r="D28" i="1"/>
  <c r="D18" i="1" s="1"/>
  <c r="C28" i="1"/>
  <c r="C18" i="1" s="1"/>
  <c r="E28" i="1"/>
  <c r="E18" i="1" s="1"/>
  <c r="F28" i="1"/>
  <c r="F18" i="1" s="1"/>
  <c r="F30" i="2" s="1"/>
  <c r="G28" i="1"/>
  <c r="G18" i="1" s="1"/>
  <c r="H28" i="1"/>
  <c r="H18" i="1" s="1"/>
  <c r="B27" i="2"/>
  <c r="B28" i="2" s="1"/>
  <c r="B28" i="1"/>
  <c r="B18" i="1" s="1"/>
  <c r="E38" i="2"/>
  <c r="E41" i="2" s="1"/>
  <c r="E27" i="2" s="1"/>
  <c r="F38" i="2"/>
  <c r="F41" i="2" s="1"/>
  <c r="F27" i="2" s="1"/>
  <c r="G38" i="2"/>
  <c r="G41" i="2" s="1"/>
  <c r="G27" i="2" s="1"/>
  <c r="C38" i="2"/>
  <c r="C41" i="2" s="1"/>
  <c r="C27" i="2" s="1"/>
  <c r="C28" i="2" s="1"/>
  <c r="H38" i="2"/>
  <c r="H41" i="2" s="1"/>
  <c r="H27" i="2" s="1"/>
  <c r="D38" i="2"/>
  <c r="D41" i="2" s="1"/>
  <c r="D27" i="2" s="1"/>
  <c r="M24" i="3"/>
  <c r="M38" i="3" s="1"/>
  <c r="I24" i="3"/>
  <c r="I38" i="3" s="1"/>
  <c r="G24" i="3"/>
  <c r="G38" i="3" s="1"/>
  <c r="F24" i="3"/>
  <c r="F38" i="3" s="1"/>
  <c r="E24" i="3"/>
  <c r="E38" i="3" s="1"/>
  <c r="B26" i="2" l="1"/>
  <c r="B3" i="6" s="1"/>
  <c r="C19" i="3"/>
  <c r="D20" i="1" s="1"/>
  <c r="F18" i="3"/>
  <c r="G18" i="3"/>
  <c r="E18" i="3"/>
  <c r="D19" i="3"/>
  <c r="D18" i="3"/>
  <c r="E19" i="3"/>
  <c r="G19" i="3"/>
  <c r="C18" i="3"/>
  <c r="F19" i="3"/>
  <c r="B4" i="6"/>
  <c r="F28" i="2"/>
  <c r="F4" i="6" s="1"/>
  <c r="F26" i="2"/>
  <c r="F3" i="6" s="1"/>
  <c r="E28" i="2"/>
  <c r="E4" i="6" s="1"/>
  <c r="E26" i="2"/>
  <c r="E3" i="6" s="1"/>
  <c r="G26" i="2"/>
  <c r="G3" i="6" s="1"/>
  <c r="G28" i="2"/>
  <c r="G4" i="6" s="1"/>
  <c r="H26" i="2"/>
  <c r="H3" i="6" s="1"/>
  <c r="H28" i="2"/>
  <c r="H4" i="6" s="1"/>
  <c r="D26" i="2"/>
  <c r="D3" i="6" s="1"/>
  <c r="D28" i="2"/>
  <c r="D4" i="6" s="1"/>
  <c r="C26" i="2"/>
  <c r="C3" i="6" s="1"/>
  <c r="C4" i="6"/>
  <c r="F29" i="2"/>
  <c r="F5" i="6" s="1"/>
  <c r="F33" i="2"/>
  <c r="F31" i="2"/>
  <c r="F6" i="6" s="1"/>
  <c r="C37" i="3"/>
  <c r="C36" i="3"/>
  <c r="C35" i="3"/>
  <c r="C33" i="3"/>
  <c r="C24" i="3"/>
  <c r="B37" i="3"/>
  <c r="B36" i="3"/>
  <c r="B35" i="3"/>
  <c r="B34" i="3"/>
  <c r="B33" i="3"/>
  <c r="B26" i="3"/>
  <c r="F34" i="2" l="1"/>
  <c r="F7" i="6" s="1"/>
  <c r="F32" i="2"/>
  <c r="F8" i="6" s="1"/>
  <c r="C20" i="3"/>
  <c r="D20" i="3"/>
  <c r="G20" i="3"/>
  <c r="C38" i="3"/>
  <c r="E20" i="3"/>
  <c r="F20" i="3"/>
  <c r="B38" i="3"/>
  <c r="D19" i="1"/>
  <c r="D21" i="1" s="1"/>
  <c r="E19" i="1"/>
  <c r="B18" i="3" l="1"/>
  <c r="B19" i="3"/>
  <c r="C20" i="1"/>
  <c r="H20" i="1"/>
  <c r="B20" i="3" l="1"/>
  <c r="H19" i="1"/>
  <c r="H21" i="1" s="1"/>
  <c r="G20" i="1"/>
  <c r="F19" i="1"/>
  <c r="E20" i="1"/>
  <c r="E21" i="1" s="1"/>
  <c r="F20" i="1"/>
  <c r="G19" i="1"/>
  <c r="C19" i="1"/>
  <c r="C21" i="1" s="1"/>
  <c r="B19" i="1"/>
  <c r="G21" i="1" l="1"/>
  <c r="F21" i="1"/>
  <c r="C30" i="2"/>
  <c r="C33" i="2" l="1"/>
  <c r="C29" i="2"/>
  <c r="C5" i="6" s="1"/>
  <c r="C31" i="2"/>
  <c r="C6" i="6" s="1"/>
  <c r="B20" i="1"/>
  <c r="B30" i="2"/>
  <c r="H30" i="2"/>
  <c r="C34" i="2" l="1"/>
  <c r="C7" i="6" s="1"/>
  <c r="C32" i="2"/>
  <c r="C8" i="6" s="1"/>
  <c r="H33" i="2"/>
  <c r="H29" i="2"/>
  <c r="H5" i="6" s="1"/>
  <c r="H31" i="2"/>
  <c r="H6" i="6" s="1"/>
  <c r="B33" i="2"/>
  <c r="B32" i="2" s="1"/>
  <c r="B31" i="2"/>
  <c r="B6" i="6" s="1"/>
  <c r="B29" i="2"/>
  <c r="B5" i="6" s="1"/>
  <c r="B21" i="1"/>
  <c r="D30" i="2"/>
  <c r="E30" i="2"/>
  <c r="H32" i="2" l="1"/>
  <c r="H8" i="6" s="1"/>
  <c r="H34" i="2"/>
  <c r="H7" i="6" s="1"/>
  <c r="E33" i="2"/>
  <c r="E31" i="2"/>
  <c r="E6" i="6" s="1"/>
  <c r="E29" i="2"/>
  <c r="E5" i="6" s="1"/>
  <c r="D33" i="2"/>
  <c r="D31" i="2"/>
  <c r="D6" i="6" s="1"/>
  <c r="D29" i="2"/>
  <c r="D5" i="6" s="1"/>
  <c r="B34" i="2"/>
  <c r="B7" i="6" s="1"/>
  <c r="B8" i="6"/>
  <c r="G30" i="2"/>
  <c r="D32" i="2" l="1"/>
  <c r="D8" i="6" s="1"/>
  <c r="D34" i="2"/>
  <c r="D7" i="6" s="1"/>
  <c r="E34" i="2"/>
  <c r="E7" i="6" s="1"/>
  <c r="E32" i="2"/>
  <c r="E8" i="6" s="1"/>
  <c r="G33" i="2"/>
  <c r="G29" i="2"/>
  <c r="G5" i="6" s="1"/>
  <c r="G31" i="2"/>
  <c r="G6" i="6" s="1"/>
  <c r="G32" i="2" l="1"/>
  <c r="G8" i="6" s="1"/>
  <c r="G34" i="2"/>
  <c r="G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Sam Arnold</author>
  </authors>
  <commentList>
    <comment ref="B3" authorId="0" shapeId="0" xr:uid="{0152390F-7EBA-4FF4-BF1F-C8A0915C4614}">
      <text>
        <r>
          <rPr>
            <sz val="9"/>
            <color indexed="81"/>
            <rFont val="Tahoma"/>
            <family val="2"/>
          </rPr>
          <t>Combined into one category
(predictive method found no safety performance differences between the two types)</t>
        </r>
      </text>
    </comment>
    <comment ref="E3" authorId="0" shapeId="0" xr:uid="{4FBD2C9A-F3BB-4746-A4E3-F88162E8CEE8}">
      <text>
        <r>
          <rPr>
            <sz val="9"/>
            <color indexed="81"/>
            <rFont val="Tahoma"/>
            <family val="2"/>
          </rPr>
          <t>Combined into one category
(predictive method found no safety performance differences between the two types)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Sam Arnold</author>
  </authors>
  <commentList>
    <comment ref="A24" authorId="0" shapeId="0" xr:uid="{79247A3B-5E1C-41D3-B4AE-59C94A21E226}">
      <text>
        <r>
          <rPr>
            <sz val="9"/>
            <color indexed="81"/>
            <rFont val="Tahoma"/>
            <family val="2"/>
          </rPr>
          <t>regression coefficients</t>
        </r>
        <r>
          <rPr>
            <b/>
            <sz val="9"/>
            <color indexed="81"/>
            <rFont val="Tahoma"/>
            <family val="2"/>
          </rPr>
          <t xml:space="preserve">
b</t>
        </r>
        <r>
          <rPr>
            <b/>
            <vertAlign val="subscript"/>
            <sz val="9"/>
            <color indexed="81"/>
            <rFont val="Tahoma"/>
            <family val="2"/>
          </rPr>
          <t>0,m</t>
        </r>
      </text>
    </comment>
    <comment ref="A25" authorId="0" shapeId="0" xr:uid="{B697FFE2-D1C9-4355-B117-B92C69616724}">
      <text>
        <r>
          <rPr>
            <sz val="9"/>
            <color indexed="81"/>
            <rFont val="Tahoma"/>
            <family val="2"/>
          </rPr>
          <t xml:space="preserve">used to calculate </t>
        </r>
        <r>
          <rPr>
            <b/>
            <sz val="9"/>
            <color indexed="81"/>
            <rFont val="Tahoma"/>
            <family val="2"/>
          </rPr>
          <t>f</t>
        </r>
        <r>
          <rPr>
            <b/>
            <vertAlign val="subscript"/>
            <sz val="9"/>
            <color indexed="81"/>
            <rFont val="Tahoma"/>
            <family val="2"/>
          </rPr>
          <t xml:space="preserve">AADTfr,KA
</t>
        </r>
        <r>
          <rPr>
            <sz val="9"/>
            <color indexed="81"/>
            <rFont val="Tahoma"/>
            <family val="2"/>
          </rPr>
          <t>(not applicable to severity level B)</t>
        </r>
      </text>
    </comment>
    <comment ref="A26" authorId="0" shapeId="0" xr:uid="{D850DC53-6F7B-49DE-B76F-417B86358F80}">
      <text>
        <r>
          <rPr>
            <sz val="9"/>
            <color indexed="81"/>
            <rFont val="Tahoma"/>
            <family val="2"/>
          </rPr>
          <t>used to calculate</t>
        </r>
        <r>
          <rPr>
            <b/>
            <sz val="9"/>
            <color indexed="81"/>
            <rFont val="Tahoma"/>
            <family val="2"/>
          </rPr>
          <t xml:space="preserve"> f</t>
        </r>
        <r>
          <rPr>
            <b/>
            <vertAlign val="subscript"/>
            <sz val="9"/>
            <color indexed="81"/>
            <rFont val="Tahoma"/>
            <family val="2"/>
          </rPr>
          <t>AADTxr,KA</t>
        </r>
        <r>
          <rPr>
            <b/>
            <sz val="9"/>
            <color indexed="81"/>
            <rFont val="Tahoma"/>
            <family val="2"/>
          </rPr>
          <t xml:space="preserve">
</t>
        </r>
        <r>
          <rPr>
            <sz val="9"/>
            <color indexed="81"/>
            <rFont val="Tahoma"/>
            <family val="2"/>
          </rPr>
          <t>(not applicable to severity level B)</t>
        </r>
      </text>
    </comment>
    <comment ref="A27" authorId="0" shapeId="0" xr:uid="{0890FC16-D14D-424E-8C5F-A629D2425161}">
      <text>
        <r>
          <rPr>
            <sz val="9"/>
            <color indexed="81"/>
            <rFont val="Tahoma"/>
            <family val="2"/>
          </rPr>
          <t>used to calculate</t>
        </r>
        <r>
          <rPr>
            <b/>
            <sz val="9"/>
            <color indexed="81"/>
            <rFont val="Tahoma"/>
            <family val="2"/>
          </rPr>
          <t xml:space="preserve"> f</t>
        </r>
        <r>
          <rPr>
            <b/>
            <vertAlign val="subscript"/>
            <sz val="9"/>
            <color indexed="81"/>
            <rFont val="Tahoma"/>
            <family val="2"/>
          </rPr>
          <t>fr65,m</t>
        </r>
      </text>
    </comment>
    <comment ref="A28" authorId="0" shapeId="0" xr:uid="{06C65F7A-36E4-4629-A050-66BC6506EEF5}">
      <text>
        <r>
          <rPr>
            <sz val="9"/>
            <color indexed="81"/>
            <rFont val="Tahoma"/>
            <family val="2"/>
          </rPr>
          <t>used to calculate</t>
        </r>
        <r>
          <rPr>
            <b/>
            <sz val="9"/>
            <color indexed="81"/>
            <rFont val="Tahoma"/>
            <family val="2"/>
          </rPr>
          <t xml:space="preserve">
f</t>
        </r>
        <r>
          <rPr>
            <b/>
            <vertAlign val="subscript"/>
            <sz val="9"/>
            <color indexed="81"/>
            <rFont val="Tahoma"/>
            <family val="2"/>
          </rPr>
          <t>xr45,m</t>
        </r>
      </text>
    </comment>
    <comment ref="A29" authorId="0" shapeId="0" xr:uid="{F69E62F8-7DE2-4454-AF6A-A7FE5304C81E}">
      <text>
        <r>
          <rPr>
            <sz val="9"/>
            <color indexed="81"/>
            <rFont val="Tahoma"/>
            <family val="2"/>
          </rPr>
          <t>used to calculate</t>
        </r>
        <r>
          <rPr>
            <b/>
            <sz val="9"/>
            <color indexed="81"/>
            <rFont val="Tahoma"/>
            <family val="2"/>
          </rPr>
          <t xml:space="preserve">
f</t>
        </r>
        <r>
          <rPr>
            <b/>
            <vertAlign val="subscript"/>
            <sz val="9"/>
            <color indexed="81"/>
            <rFont val="Tahoma"/>
            <family val="2"/>
          </rPr>
          <t>PAorB,m</t>
        </r>
      </text>
    </comment>
    <comment ref="A30" authorId="0" shapeId="0" xr:uid="{F8BB4B99-615A-47CF-9773-E5B5BCB58000}">
      <text>
        <r>
          <rPr>
            <sz val="9"/>
            <color indexed="81"/>
            <rFont val="Tahoma"/>
            <family val="2"/>
          </rPr>
          <t>used to calculate</t>
        </r>
        <r>
          <rPr>
            <b/>
            <sz val="9"/>
            <color indexed="81"/>
            <rFont val="Tahoma"/>
            <family val="2"/>
          </rPr>
          <t xml:space="preserve">
f</t>
        </r>
        <r>
          <rPr>
            <b/>
            <vertAlign val="subscript"/>
            <sz val="9"/>
            <color indexed="81"/>
            <rFont val="Tahoma"/>
            <family val="2"/>
          </rPr>
          <t>PAB,m</t>
        </r>
      </text>
    </comment>
    <comment ref="A31" authorId="0" shapeId="0" xr:uid="{307AF6B3-E64E-4309-A064-77326F03279E}">
      <text>
        <r>
          <rPr>
            <sz val="9"/>
            <color indexed="81"/>
            <rFont val="Tahoma"/>
            <family val="2"/>
          </rPr>
          <t>used to calculate</t>
        </r>
        <r>
          <rPr>
            <b/>
            <sz val="9"/>
            <color indexed="81"/>
            <rFont val="Tahoma"/>
            <family val="2"/>
          </rPr>
          <t xml:space="preserve">
f</t>
        </r>
        <r>
          <rPr>
            <b/>
            <vertAlign val="subscript"/>
            <sz val="9"/>
            <color indexed="81"/>
            <rFont val="Tahoma"/>
            <family val="2"/>
          </rPr>
          <t>SPDI_DDI_TDI,m</t>
        </r>
      </text>
    </comment>
    <comment ref="A32" authorId="0" shapeId="0" xr:uid="{E79F5C26-6A0F-4BF9-A980-101AA1B01890}">
      <text>
        <r>
          <rPr>
            <sz val="9"/>
            <color indexed="81"/>
            <rFont val="Tahoma"/>
            <family val="2"/>
          </rPr>
          <t>used to calculate</t>
        </r>
        <r>
          <rPr>
            <b/>
            <sz val="9"/>
            <color indexed="81"/>
            <rFont val="Tahoma"/>
            <family val="2"/>
          </rPr>
          <t xml:space="preserve">
f</t>
        </r>
        <r>
          <rPr>
            <b/>
            <vertAlign val="subscript"/>
            <sz val="9"/>
            <color indexed="81"/>
            <rFont val="Tahoma"/>
            <family val="2"/>
          </rPr>
          <t>RDI,m</t>
        </r>
      </text>
    </comment>
    <comment ref="A33" authorId="0" shapeId="0" xr:uid="{E7FE549E-116A-4B5A-BACF-CA1C4165E7A3}">
      <text>
        <r>
          <rPr>
            <sz val="9"/>
            <color indexed="81"/>
            <rFont val="Tahoma"/>
            <family val="2"/>
          </rPr>
          <t>used to calculate</t>
        </r>
        <r>
          <rPr>
            <b/>
            <sz val="9"/>
            <color indexed="81"/>
            <rFont val="Tahoma"/>
            <family val="2"/>
          </rPr>
          <t xml:space="preserve">
f</t>
        </r>
        <r>
          <rPr>
            <b/>
            <vertAlign val="subscript"/>
            <sz val="9"/>
            <color indexed="81"/>
            <rFont val="Tahoma"/>
            <family val="2"/>
          </rPr>
          <t>INT10,m</t>
        </r>
      </text>
    </comment>
    <comment ref="A34" authorId="0" shapeId="0" xr:uid="{01FB0566-FD0F-40F6-AE68-AD1393A12583}">
      <text>
        <r>
          <rPr>
            <sz val="9"/>
            <color indexed="81"/>
            <rFont val="Tahoma"/>
            <family val="2"/>
          </rPr>
          <t>used to calculate</t>
        </r>
        <r>
          <rPr>
            <b/>
            <sz val="9"/>
            <color indexed="81"/>
            <rFont val="Tahoma"/>
            <family val="2"/>
          </rPr>
          <t xml:space="preserve">
f</t>
        </r>
        <r>
          <rPr>
            <b/>
            <vertAlign val="subscript"/>
            <sz val="9"/>
            <color indexed="81"/>
            <rFont val="Tahoma"/>
            <family val="2"/>
          </rPr>
          <t>GORE25,KA</t>
        </r>
        <r>
          <rPr>
            <b/>
            <sz val="9"/>
            <color indexed="81"/>
            <rFont val="Tahoma"/>
            <family val="2"/>
          </rPr>
          <t xml:space="preserve">
</t>
        </r>
        <r>
          <rPr>
            <sz val="9"/>
            <color indexed="81"/>
            <rFont val="Tahoma"/>
            <family val="2"/>
          </rPr>
          <t>(not applicable to severity level B)</t>
        </r>
      </text>
    </comment>
    <comment ref="A35" authorId="0" shapeId="0" xr:uid="{1A04AD34-563E-4C1A-BF57-01F12864FD23}">
      <text>
        <r>
          <rPr>
            <sz val="9"/>
            <color indexed="81"/>
            <rFont val="Tahoma"/>
            <family val="2"/>
          </rPr>
          <t>used to calculate</t>
        </r>
        <r>
          <rPr>
            <b/>
            <sz val="9"/>
            <color indexed="81"/>
            <rFont val="Tahoma"/>
            <family val="2"/>
          </rPr>
          <t xml:space="preserve">
f</t>
        </r>
        <r>
          <rPr>
            <b/>
            <vertAlign val="subscript"/>
            <sz val="9"/>
            <color indexed="81"/>
            <rFont val="Tahoma"/>
            <family val="2"/>
          </rPr>
          <t>PED_RT,m</t>
        </r>
      </text>
    </comment>
    <comment ref="A36" authorId="0" shapeId="0" xr:uid="{2B2A9446-963D-429B-822E-C72D0F9C02DC}">
      <text>
        <r>
          <rPr>
            <sz val="9"/>
            <color indexed="81"/>
            <rFont val="Tahoma"/>
            <family val="2"/>
          </rPr>
          <t>used to calculate</t>
        </r>
        <r>
          <rPr>
            <b/>
            <sz val="9"/>
            <color indexed="81"/>
            <rFont val="Tahoma"/>
            <family val="2"/>
          </rPr>
          <t xml:space="preserve">
f</t>
        </r>
        <r>
          <rPr>
            <b/>
            <vertAlign val="subscript"/>
            <sz val="9"/>
            <color indexed="81"/>
            <rFont val="Tahoma"/>
            <family val="2"/>
          </rPr>
          <t>fr_8l,m</t>
        </r>
      </text>
    </comment>
    <comment ref="A37" authorId="0" shapeId="0" xr:uid="{10D41661-6BD8-4D16-8DD5-046DC7733E61}">
      <text>
        <r>
          <rPr>
            <sz val="9"/>
            <color indexed="81"/>
            <rFont val="Tahoma"/>
            <family val="2"/>
          </rPr>
          <t>used to calculate</t>
        </r>
        <r>
          <rPr>
            <b/>
            <sz val="9"/>
            <color indexed="81"/>
            <rFont val="Tahoma"/>
            <family val="2"/>
          </rPr>
          <t xml:space="preserve">
f</t>
        </r>
        <r>
          <rPr>
            <b/>
            <vertAlign val="subscript"/>
            <sz val="9"/>
            <color indexed="81"/>
            <rFont val="Tahoma"/>
            <family val="2"/>
          </rPr>
          <t>xr_4l,m</t>
        </r>
      </text>
    </comment>
    <comment ref="A38" authorId="0" shapeId="0" xr:uid="{81FB4C44-9B6E-4B1A-9B0C-E294577CA7E9}">
      <text>
        <r>
          <rPr>
            <sz val="9"/>
            <color indexed="81"/>
            <rFont val="Tahoma"/>
            <family val="2"/>
          </rPr>
          <t xml:space="preserve">Calculates </t>
        </r>
        <r>
          <rPr>
            <b/>
            <sz val="9"/>
            <color indexed="81"/>
            <rFont val="Tahoma"/>
            <family val="2"/>
          </rPr>
          <t>V</t>
        </r>
        <r>
          <rPr>
            <b/>
            <vertAlign val="subscript"/>
            <sz val="9"/>
            <color indexed="81"/>
            <rFont val="Tahoma"/>
            <family val="2"/>
          </rPr>
          <t>KA</t>
        </r>
        <r>
          <rPr>
            <b/>
            <sz val="9"/>
            <color indexed="81"/>
            <rFont val="Tahoma"/>
            <family val="2"/>
          </rPr>
          <t xml:space="preserve"> and V</t>
        </r>
        <r>
          <rPr>
            <b/>
            <vertAlign val="subscript"/>
            <sz val="9"/>
            <color indexed="81"/>
            <rFont val="Tahoma"/>
            <family val="2"/>
          </rPr>
          <t xml:space="preserve">B
</t>
        </r>
        <r>
          <rPr>
            <sz val="9"/>
            <color indexed="81"/>
            <rFont val="Tahoma"/>
            <family val="2"/>
          </rPr>
          <t>these are dimensionless numbers indicating the relative frequency of crashes associated with a specific severity level, given that a crash has occurred</t>
        </r>
      </text>
    </comment>
  </commentList>
</comments>
</file>

<file path=xl/sharedStrings.xml><?xml version="1.0" encoding="utf-8"?>
<sst xmlns="http://schemas.openxmlformats.org/spreadsheetml/2006/main" count="359" uniqueCount="248">
  <si>
    <t>FHWA Interchange Configuration Safety Comparison Tool</t>
  </si>
  <si>
    <t>Foreword</t>
  </si>
  <si>
    <t>Overview</t>
  </si>
  <si>
    <t>Data Needs</t>
  </si>
  <si>
    <t>PDO Worksheet Inputs</t>
  </si>
  <si>
    <t>Urban area type</t>
  </si>
  <si>
    <t>The contents of this spreadsheet include the following:</t>
  </si>
  <si>
    <t>Worksheet Name</t>
  </si>
  <si>
    <t>Contents</t>
  </si>
  <si>
    <t>Welcome</t>
  </si>
  <si>
    <t>Instructions</t>
  </si>
  <si>
    <t>PDO</t>
  </si>
  <si>
    <t>Managed lanes on freeway</t>
  </si>
  <si>
    <t>KABC</t>
  </si>
  <si>
    <t>Freeway AADT</t>
  </si>
  <si>
    <t>SDF</t>
  </si>
  <si>
    <t>Charts</t>
  </si>
  <si>
    <t>XR AADT</t>
  </si>
  <si>
    <t>Bidirectional AADT volumes for the crossroad.</t>
  </si>
  <si>
    <t>Total ramp AADT</t>
  </si>
  <si>
    <t>COV of ramp volumes</t>
  </si>
  <si>
    <t>Color Coding in the Worksheets</t>
  </si>
  <si>
    <t>SDF Worksheet Inputs</t>
  </si>
  <si>
    <t>The respective color coding is as follows:</t>
  </si>
  <si>
    <t>Color Used</t>
  </si>
  <si>
    <t>Type of Information Required from User</t>
  </si>
  <si>
    <t>Freeway posted speed limit</t>
  </si>
  <si>
    <t>Freeway posted speed limit (in mph).</t>
  </si>
  <si>
    <t>Required input information.</t>
  </si>
  <si>
    <t>Crossroad posted speed limit (in mph).</t>
  </si>
  <si>
    <t>Type of Information Output</t>
  </si>
  <si>
    <t>Crash frequency model results. Not an input.</t>
  </si>
  <si>
    <t>Information linked to a different worksheet. Not an input.</t>
  </si>
  <si>
    <t>Abbreviations Used</t>
  </si>
  <si>
    <t>AADT</t>
  </si>
  <si>
    <t>CI</t>
  </si>
  <si>
    <t>COV</t>
  </si>
  <si>
    <t>DDI</t>
  </si>
  <si>
    <t>LB</t>
  </si>
  <si>
    <t>LT</t>
  </si>
  <si>
    <t>Parclo</t>
  </si>
  <si>
    <t>SPDI</t>
  </si>
  <si>
    <t>TDI</t>
  </si>
  <si>
    <t>UB</t>
  </si>
  <si>
    <t>V</t>
  </si>
  <si>
    <t>vpd</t>
  </si>
  <si>
    <t>XR</t>
  </si>
  <si>
    <t>#</t>
  </si>
  <si>
    <t>K, A, B, C, PDO</t>
  </si>
  <si>
    <t>PDO Crash Frequency</t>
  </si>
  <si>
    <t>User Input</t>
  </si>
  <si>
    <t>Diamond/
Compressed</t>
  </si>
  <si>
    <t>Roundabout Diamond</t>
  </si>
  <si>
    <t>Parclo B, AB</t>
  </si>
  <si>
    <t>Parclo A</t>
  </si>
  <si>
    <t>Number of LT lanes on the XR at intersections</t>
  </si>
  <si>
    <t>NOTE: Changes to the table above will be reflected on the KABC worksheet.</t>
  </si>
  <si>
    <t>Coefficient of Variation (COV) of Ramp Calculation Tool</t>
  </si>
  <si>
    <t>Std. Deviation</t>
  </si>
  <si>
    <t>Mean</t>
  </si>
  <si>
    <t>NOTE: range of acceptable COV values is 0 to 1.15.</t>
  </si>
  <si>
    <t>Use this value for COV inputs in table</t>
  </si>
  <si>
    <t>Model Output (Do Not Edit)</t>
  </si>
  <si>
    <t>Calculations (Do Not Edit)</t>
  </si>
  <si>
    <t>Constant term (accounting for interchange type)</t>
  </si>
  <si>
    <t>Freeway/ramp exposure term</t>
  </si>
  <si>
    <t>XR exposure term</t>
  </si>
  <si>
    <t>Expected KABC crash freq. considering exposure (only)</t>
  </si>
  <si>
    <t>Freeway lane adjustment</t>
  </si>
  <si>
    <t>XR lane adjustment</t>
  </si>
  <si>
    <t>Area type adjustment</t>
  </si>
  <si>
    <t>Intersection skew adjustment</t>
  </si>
  <si>
    <t>Nearby interchange adjustment</t>
  </si>
  <si>
    <t>Managed lane adjustment</t>
  </si>
  <si>
    <t>Ramp variation adjustment</t>
  </si>
  <si>
    <t>XR LT lane adjustment</t>
  </si>
  <si>
    <t>Overdispersion parameter</t>
  </si>
  <si>
    <t>Applicability</t>
  </si>
  <si>
    <t>Interchanges studied in building this model had volumes falling into the following ranges:</t>
  </si>
  <si>
    <t>Compressed Diamond</t>
  </si>
  <si>
    <t>Parclo 
Type AB</t>
  </si>
  <si>
    <t>Parclo 
Type A or B</t>
  </si>
  <si>
    <t>Diamond</t>
  </si>
  <si>
    <t>KABC Crash Frequency</t>
  </si>
  <si>
    <t>User Input (Do Not Edit)</t>
  </si>
  <si>
    <t xml:space="preserve">NOTE: Inputs are linked to the PDO worksheet. Do not make changes to this worksheet. </t>
  </si>
  <si>
    <t>SDF Model</t>
  </si>
  <si>
    <t>Parclo 
(All Types)</t>
  </si>
  <si>
    <t>Nearest interchange gore distance within 0.25 miles</t>
  </si>
  <si>
    <t>Freeway has eight or more lanes (bidirectional total)</t>
  </si>
  <si>
    <t>SDF Model Output (Do Not Edit)</t>
  </si>
  <si>
    <t>Probability of KA severity outcome</t>
  </si>
  <si>
    <t>Probability of B severity outcome</t>
  </si>
  <si>
    <t>Probability of C severity outcome</t>
  </si>
  <si>
    <t>Constant</t>
  </si>
  <si>
    <t>Freeway posted speed limit is 65 mph or greater</t>
  </si>
  <si>
    <t>SPDI, DDI, or TDI</t>
  </si>
  <si>
    <t>Roundabout diamond interchange</t>
  </si>
  <si>
    <t>Information pulls from pdo tab</t>
  </si>
  <si>
    <t>End of Worksheet</t>
  </si>
  <si>
    <t xml:space="preserve">The following provides an overview of data needs for crash frequency and severity distribution function models. </t>
  </si>
  <si>
    <t>Current worksheet displaying overview, summary of spreadsheet worksheets, and description of color coding included in the worksheets.</t>
  </si>
  <si>
    <t>Analysis worksheet for property damage only crash frequency. User provides inputs on this sheet for crash frequency calculations. Provides summary of total crash frequency.</t>
  </si>
  <si>
    <t>Analysis worksheet for fatal and injury crash frequency. Inputs for this sheet are derived from the PDO spreadsheet.</t>
  </si>
  <si>
    <t xml:space="preserve">Analysis worksheet for severity distribution functions. User provides inputs on this sheet for severity distribution calculations. </t>
  </si>
  <si>
    <t>This variable is an indicator where 1 = yes and 0 = no if the interchange is found within an urbanized boundary.</t>
  </si>
  <si>
    <t xml:space="preserve">Bidirectional AADT volume for the freeway mainline. This includes the AADT for HOV/HOT lanes if they are present. </t>
  </si>
  <si>
    <t>Number of through lanes on the freeway through the interchange area (bidirectional total).</t>
  </si>
  <si>
    <t>Number of through lanes on the crossroad through the interchange area (bidirectional total).</t>
  </si>
  <si>
    <t xml:space="preserve">Combined total of ramp AADTs for all entrance and exit ramps at the interchange. </t>
  </si>
  <si>
    <t xml:space="preserve">This variable accounts for differences in individual ramp AADT volumes. It is manually calculated to the right of the inputs table on the PDO tab. </t>
  </si>
  <si>
    <t xml:space="preserve">Number of left-turn lanes on the crossroad approaches to terminals (combined total). </t>
  </si>
  <si>
    <t>Indicator where 1 = yes and 0 = no if freeway AADT is greater than or equal to 200,000 vehicles per day.</t>
  </si>
  <si>
    <t>Indicator where 1 = yes and 0 = no if crossroad AADT is greater than or equal to 30,000 vehicles per day.</t>
  </si>
  <si>
    <t>This variable is an indicator where 1 = yes and 0 = no if there is a signalized intersection or roundabout intersection within 0.10 miles of any interchange ramp terminal.</t>
  </si>
  <si>
    <t>This variable is an indicator where 1 = yes and 0 = no if at least one adjacent interchange gore is located within 0.25 miles of an interchange gore in the same direction on the freeway mainline.</t>
  </si>
  <si>
    <t>Indicator where 1 = yes and 0 = no for whether there are eight or more lanes (bidirectional total) on freeway.</t>
  </si>
  <si>
    <t>Indicator where 1 = yes and 0 = no for whether there are four or more lanes (bidirectional total) on crossroad.</t>
  </si>
  <si>
    <t>The worksheets include three specific color options to help users identify locations where input data is required, where crash frequency is reported, and where severity distributions are applied.</t>
  </si>
  <si>
    <t>Description</t>
  </si>
  <si>
    <t>Left Slanted Lined Green</t>
  </si>
  <si>
    <t>Right Slanted Lined Blue</t>
  </si>
  <si>
    <t>Dotted Gray</t>
  </si>
  <si>
    <t>Definition</t>
  </si>
  <si>
    <t>Spacer row</t>
  </si>
  <si>
    <t>Spacer cell</t>
  </si>
  <si>
    <t>spacer row</t>
  </si>
  <si>
    <t>End Worksheet</t>
  </si>
  <si>
    <t>Diamond/ Compressed 
KA</t>
  </si>
  <si>
    <t>Diamond/ Compressed 
B</t>
  </si>
  <si>
    <t>Roundabout Diamond 
KA</t>
  </si>
  <si>
    <t>Roundabout Diamond 
B</t>
  </si>
  <si>
    <t>DDI 
KA</t>
  </si>
  <si>
    <t>DDI 
B</t>
  </si>
  <si>
    <t>Parclo 
(All Types) 
KA</t>
  </si>
  <si>
    <t>Parclo 
(All Types) 
B</t>
  </si>
  <si>
    <t>SPDI 
KA</t>
  </si>
  <si>
    <t>SPDI 
B</t>
  </si>
  <si>
    <t>TDI 
KA</t>
  </si>
  <si>
    <t>TDI 
B</t>
  </si>
  <si>
    <r>
      <t xml:space="preserve">Freeway posted speed limit 
</t>
    </r>
    <r>
      <rPr>
        <i/>
        <sz val="11"/>
        <color theme="1"/>
        <rFont val="Calibri"/>
        <family val="2"/>
        <scheme val="minor"/>
      </rPr>
      <t>(Value in mph)</t>
    </r>
  </si>
  <si>
    <r>
      <t xml:space="preserve">Freeway has eight or more lanes (bidirectional total)
</t>
    </r>
    <r>
      <rPr>
        <i/>
        <sz val="11"/>
        <color theme="1"/>
        <rFont val="Calibri"/>
        <family val="2"/>
        <scheme val="minor"/>
      </rPr>
      <t>(1 = yes, 0 = no)</t>
    </r>
  </si>
  <si>
    <t xml:space="preserve">End Worksheet. </t>
  </si>
  <si>
    <t>NOTE: leave input cells blank for any ramps not included in analysis.</t>
  </si>
  <si>
    <r>
      <t xml:space="preserve">Urban area type </t>
    </r>
    <r>
      <rPr>
        <i/>
        <sz val="11"/>
        <color theme="1"/>
        <rFont val="Calibri"/>
        <family val="2"/>
        <scheme val="minor"/>
      </rPr>
      <t>(1 = yes, 0 = no)</t>
    </r>
  </si>
  <si>
    <r>
      <t xml:space="preserve">Intersection skew angle &gt;30 degrees </t>
    </r>
    <r>
      <rPr>
        <i/>
        <sz val="11"/>
        <color theme="1"/>
        <rFont val="Calibri"/>
        <family val="2"/>
        <scheme val="minor"/>
      </rPr>
      <t>(1 = yes, 0 = no)</t>
    </r>
  </si>
  <si>
    <r>
      <t xml:space="preserve">Managed lanes on freeway </t>
    </r>
    <r>
      <rPr>
        <i/>
        <sz val="11"/>
        <color theme="1"/>
        <rFont val="Calibri"/>
        <family val="2"/>
        <scheme val="minor"/>
      </rPr>
      <t>(1 = yes, 0 = no)</t>
    </r>
  </si>
  <si>
    <r>
      <t xml:space="preserve">Freeway AADT </t>
    </r>
    <r>
      <rPr>
        <i/>
        <sz val="11"/>
        <color theme="1"/>
        <rFont val="Calibri"/>
        <family val="2"/>
        <scheme val="minor"/>
      </rPr>
      <t>(Value in vehicles/day)</t>
    </r>
  </si>
  <si>
    <r>
      <t xml:space="preserve">XR AADT </t>
    </r>
    <r>
      <rPr>
        <i/>
        <sz val="11"/>
        <color theme="1"/>
        <rFont val="Calibri"/>
        <family val="2"/>
        <scheme val="minor"/>
      </rPr>
      <t>(Value in vehicles/day)</t>
    </r>
  </si>
  <si>
    <r>
      <t xml:space="preserve">Total ramp AADT </t>
    </r>
    <r>
      <rPr>
        <i/>
        <sz val="11"/>
        <color theme="1"/>
        <rFont val="Calibri"/>
        <family val="2"/>
        <scheme val="minor"/>
      </rPr>
      <t>(Value in vehicles/day)</t>
    </r>
  </si>
  <si>
    <r>
      <t>Intersection skew angle &gt;30 degrees</t>
    </r>
    <r>
      <rPr>
        <i/>
        <sz val="11"/>
        <color theme="1"/>
        <rFont val="Calibri"/>
        <family val="2"/>
        <scheme val="minor"/>
      </rPr>
      <t xml:space="preserve"> (1 = yes, 0 = no)</t>
    </r>
  </si>
  <si>
    <r>
      <t>Expected KABC crash frequency</t>
    </r>
    <r>
      <rPr>
        <i/>
        <sz val="11"/>
        <color theme="1"/>
        <rFont val="Calibri"/>
        <family val="2"/>
        <scheme val="minor"/>
      </rPr>
      <t xml:space="preserve"> (crashes/year)</t>
    </r>
  </si>
  <si>
    <r>
      <t xml:space="preserve">KA crash frequency (SDF Model 2) </t>
    </r>
    <r>
      <rPr>
        <i/>
        <sz val="11"/>
        <color theme="1"/>
        <rFont val="Calibri"/>
        <family val="2"/>
        <scheme val="minor"/>
      </rPr>
      <t>(crashes/year)</t>
    </r>
  </si>
  <si>
    <r>
      <t xml:space="preserve">B crash frequency (SDF Model 2) </t>
    </r>
    <r>
      <rPr>
        <i/>
        <sz val="11"/>
        <color theme="1"/>
        <rFont val="Calibri"/>
        <family val="2"/>
        <scheme val="minor"/>
      </rPr>
      <t>(crashes/year)</t>
    </r>
  </si>
  <si>
    <r>
      <t xml:space="preserve">C crash frequency (SDF Model 2) </t>
    </r>
    <r>
      <rPr>
        <i/>
        <sz val="11"/>
        <color theme="1"/>
        <rFont val="Calibri"/>
        <family val="2"/>
        <scheme val="minor"/>
      </rPr>
      <t>(crashes/year)</t>
    </r>
  </si>
  <si>
    <t>Diamond/ Compressed</t>
  </si>
  <si>
    <t>Dotted Yellow</t>
  </si>
  <si>
    <r>
      <t xml:space="preserve">Expected PDO crash frequency </t>
    </r>
    <r>
      <rPr>
        <i/>
        <sz val="11"/>
        <color theme="1"/>
        <rFont val="Calibri"/>
        <family val="2"/>
        <scheme val="minor"/>
      </rPr>
      <t>(crashes/year)</t>
    </r>
  </si>
  <si>
    <r>
      <t xml:space="preserve">Expected KABC crash frequency (from KABC sheet) </t>
    </r>
    <r>
      <rPr>
        <i/>
        <sz val="11"/>
        <color theme="1"/>
        <rFont val="Calibri"/>
        <family val="2"/>
        <scheme val="minor"/>
      </rPr>
      <t>(crashes/year)</t>
    </r>
  </si>
  <si>
    <r>
      <t xml:space="preserve">Expected total crash frequency (KABC + PDO) </t>
    </r>
    <r>
      <rPr>
        <i/>
        <sz val="11"/>
        <color theme="1"/>
        <rFont val="Calibri"/>
        <family val="2"/>
        <scheme val="minor"/>
      </rPr>
      <t>(crashes/year)</t>
    </r>
  </si>
  <si>
    <r>
      <t>Freeway AADT</t>
    </r>
    <r>
      <rPr>
        <i/>
        <sz val="11"/>
        <color theme="1"/>
        <rFont val="Calibri"/>
        <family val="2"/>
        <scheme val="minor"/>
      </rPr>
      <t xml:space="preserve"> (minimum)</t>
    </r>
  </si>
  <si>
    <r>
      <t xml:space="preserve">Total entrance volume </t>
    </r>
    <r>
      <rPr>
        <i/>
        <sz val="11"/>
        <color theme="1"/>
        <rFont val="Calibri"/>
        <family val="2"/>
        <scheme val="minor"/>
      </rPr>
      <t xml:space="preserve"> (minimum)</t>
    </r>
  </si>
  <si>
    <r>
      <t xml:space="preserve">Total exit volume  </t>
    </r>
    <r>
      <rPr>
        <i/>
        <sz val="11"/>
        <color theme="1"/>
        <rFont val="Calibri"/>
        <family val="2"/>
        <scheme val="minor"/>
      </rPr>
      <t>(minimum)</t>
    </r>
  </si>
  <si>
    <r>
      <t xml:space="preserve">Freeway AADT </t>
    </r>
    <r>
      <rPr>
        <i/>
        <sz val="11"/>
        <color theme="1"/>
        <rFont val="Calibri"/>
        <family val="2"/>
        <scheme val="minor"/>
      </rPr>
      <t>(maximum)</t>
    </r>
  </si>
  <si>
    <r>
      <t>Total entrance volume</t>
    </r>
    <r>
      <rPr>
        <i/>
        <sz val="11"/>
        <color theme="1"/>
        <rFont val="Calibri"/>
        <family val="2"/>
        <scheme val="minor"/>
      </rPr>
      <t xml:space="preserve"> (maximum)</t>
    </r>
  </si>
  <si>
    <r>
      <t xml:space="preserve">Total exit volume </t>
    </r>
    <r>
      <rPr>
        <i/>
        <sz val="11"/>
        <color theme="1"/>
        <rFont val="Calibri"/>
        <family val="2"/>
        <scheme val="minor"/>
      </rPr>
      <t>(maximum)</t>
    </r>
  </si>
  <si>
    <t>Spacer Row</t>
  </si>
  <si>
    <t>End row</t>
  </si>
  <si>
    <t>Results of severity distribution functions; combined with crash frequency (namely fatal and injury) results. Not an input.</t>
  </si>
  <si>
    <t>average annual daily traffic</t>
  </si>
  <si>
    <t>confidence interval</t>
  </si>
  <si>
    <t>coefficient of variation</t>
  </si>
  <si>
    <t>diverging diamond interchange</t>
  </si>
  <si>
    <t>lower bound</t>
  </si>
  <si>
    <t>left turn</t>
  </si>
  <si>
    <t>partial cloverleaf interchange</t>
  </si>
  <si>
    <t>severity distribution function</t>
  </si>
  <si>
    <t>single-point diamond interchange</t>
  </si>
  <si>
    <t>tight diamond interchange</t>
  </si>
  <si>
    <t>upper bound</t>
  </si>
  <si>
    <t xml:space="preserve">deterministic component for respective severity level </t>
  </si>
  <si>
    <t>vehicles per day</t>
  </si>
  <si>
    <t>crossroad</t>
  </si>
  <si>
    <t>number</t>
  </si>
  <si>
    <t>injury ratings based on KABCO scale (K = fatality, A = incapacitating injury, B = non-incapacitating injury, C = possible injury, PDO = property damage only)</t>
  </si>
  <si>
    <t>Intersection skew angle &gt;30 degrees</t>
  </si>
  <si>
    <t xml:space="preserve">This variable is an indicator where 1 = yes and 0 = no if the intersection angle between the freeway mainline and crossroad is less than 60 degrees (or &gt;120 degrees). </t>
  </si>
  <si>
    <t>Number of pedestrian crossings conflicting with right-turning vehicles across interchange</t>
  </si>
  <si>
    <t>Number of pedestrian crossings conflicting with right-turning vehicles across interchange (ranges from 0 to 7).</t>
  </si>
  <si>
    <t>Indicator where 1 = yes and 0 = no for whether the parclo interchange is type A or B.</t>
  </si>
  <si>
    <t>Type A or B parclo interchange (includes A2/A4/B2/B4)</t>
  </si>
  <si>
    <t>Type AB parclo interchange (includes AB2/AB4)</t>
  </si>
  <si>
    <t>Indicator where 1 = yes and 0 = no for whether the parclo interchange is type AB.</t>
  </si>
  <si>
    <r>
      <t xml:space="preserve">Freeway AADT </t>
    </r>
    <r>
      <rPr>
        <i/>
        <sz val="11"/>
        <color theme="1"/>
        <rFont val="Calibri"/>
        <family val="2"/>
        <scheme val="minor"/>
      </rPr>
      <t>(value in vehicles/day)</t>
    </r>
  </si>
  <si>
    <r>
      <t xml:space="preserve">XR AADT </t>
    </r>
    <r>
      <rPr>
        <i/>
        <sz val="11"/>
        <color theme="1"/>
        <rFont val="Calibri"/>
        <family val="2"/>
        <scheme val="minor"/>
      </rPr>
      <t>(value in vehicles/day)</t>
    </r>
  </si>
  <si>
    <r>
      <t xml:space="preserve">Total ramp AADT </t>
    </r>
    <r>
      <rPr>
        <i/>
        <sz val="11"/>
        <color theme="1"/>
        <rFont val="Calibri"/>
        <family val="2"/>
        <scheme val="minor"/>
      </rPr>
      <t>(value in vehicles/day)</t>
    </r>
  </si>
  <si>
    <r>
      <t xml:space="preserve">COV of ramp volumes (see below) </t>
    </r>
    <r>
      <rPr>
        <i/>
        <sz val="11"/>
        <color theme="1"/>
        <rFont val="Calibri"/>
        <family val="2"/>
        <scheme val="minor"/>
      </rPr>
      <t>(decimal #; calculation)</t>
    </r>
  </si>
  <si>
    <t>Number of pedestrian crossings conflicting with right- 
turning vehicles across interchange</t>
  </si>
  <si>
    <r>
      <t xml:space="preserve">Number of pedestrian crossings conflicting with right- 
turning vehicles across interchange 
</t>
    </r>
    <r>
      <rPr>
        <i/>
        <sz val="11"/>
        <color theme="1"/>
        <rFont val="Calibri"/>
        <family val="2"/>
        <scheme val="minor"/>
      </rPr>
      <t>(Ranges from 0 to 7)</t>
    </r>
  </si>
  <si>
    <r>
      <t xml:space="preserve">Type A or B parclo interchange (includes A2/A4/B2/B4) 
</t>
    </r>
    <r>
      <rPr>
        <i/>
        <sz val="11"/>
        <color theme="1"/>
        <rFont val="Calibri"/>
        <family val="2"/>
        <scheme val="minor"/>
      </rPr>
      <t>(1 = yes, 0 = no)</t>
    </r>
  </si>
  <si>
    <r>
      <t xml:space="preserve">Type AB parclo interchange (includes AB2/AB4) 
</t>
    </r>
    <r>
      <rPr>
        <i/>
        <sz val="11"/>
        <color theme="1"/>
        <rFont val="Calibri"/>
        <family val="2"/>
        <scheme val="minor"/>
      </rPr>
      <t>(1 = yes, 0 = no)</t>
    </r>
  </si>
  <si>
    <t>This spreadsheet tool was developed through FHWA's project Safety Comparison Between Interchange Types. This spreadsheet implements the crash prediction models for diamond, compressed diamond, roundabout diamond, diverging diamond, single-point diamond, tight diamond, and partial cloverleaf (parclo) interchanges. The Instructions worksheet provides useful information about this spreadsheet and should be read prior to first use.</t>
  </si>
  <si>
    <t>Final - February 2023</t>
  </si>
  <si>
    <t xml:space="preserve">This spreadsheet is intended for use with the project final report. The analyst is encouraged to read the final report so that they will have an understanding of how best to determine input values and interpret output. </t>
  </si>
  <si>
    <t>This spreadsheet has been developed to implement the crash prediction models for comparison of common service interchange configurations considered for comparison under Interchange Access Requests.</t>
  </si>
  <si>
    <t xml:space="preserve">Visual representation of predicted crash frequency and 95 percent confidence intervals. </t>
  </si>
  <si>
    <t>Nearest interchange gore distance within 0.5 mi</t>
  </si>
  <si>
    <t>This variable is an indicator where 1 = yes and 0 = no if at least one adjacent interchange gore is located within 0.5 mi of an interchange gore in the same direction on the freeway mainline.</t>
  </si>
  <si>
    <t>Freeway no. of through lanes (bidirectional total)</t>
  </si>
  <si>
    <t>XR no. of through lanes (bidirectional total)</t>
  </si>
  <si>
    <r>
      <t xml:space="preserve">Freeway AADT </t>
    </r>
    <r>
      <rPr>
        <sz val="11"/>
        <color theme="1"/>
        <rFont val="Calibri"/>
        <family val="2"/>
      </rPr>
      <t>≥</t>
    </r>
    <r>
      <rPr>
        <sz val="11"/>
        <color theme="1"/>
        <rFont val="Calibri"/>
        <family val="2"/>
        <scheme val="minor"/>
      </rPr>
      <t xml:space="preserve"> to 200,000 vpd</t>
    </r>
  </si>
  <si>
    <r>
      <t xml:space="preserve">Crossroad AADT </t>
    </r>
    <r>
      <rPr>
        <sz val="11"/>
        <color theme="1"/>
        <rFont val="Calibri"/>
        <family val="2"/>
      </rPr>
      <t>≥</t>
    </r>
    <r>
      <rPr>
        <sz val="11"/>
        <color theme="1"/>
        <rFont val="Calibri"/>
        <family val="2"/>
        <scheme val="minor"/>
      </rPr>
      <t xml:space="preserve"> 30,000 vpd</t>
    </r>
  </si>
  <si>
    <r>
      <t xml:space="preserve">XR AADT </t>
    </r>
    <r>
      <rPr>
        <sz val="11"/>
        <color theme="1"/>
        <rFont val="Calibri"/>
        <family val="2"/>
      </rPr>
      <t>≥</t>
    </r>
    <r>
      <rPr>
        <sz val="11"/>
        <color theme="1"/>
        <rFont val="Calibri"/>
        <family val="2"/>
        <scheme val="minor"/>
      </rPr>
      <t xml:space="preserve"> 30,000 vpd</t>
    </r>
  </si>
  <si>
    <t>XR posted speed limit</t>
  </si>
  <si>
    <t>XR has four or more lanes (bidirectional total)</t>
  </si>
  <si>
    <t>Nearest XR adjacent intersection (signal or roundabout) within 0.10 mi of ramp terminal</t>
  </si>
  <si>
    <t>Nearest interchange gore distance within 0.25 mi</t>
  </si>
  <si>
    <t>Input Characteristic</t>
  </si>
  <si>
    <t>Predicted Crash Frequency</t>
  </si>
  <si>
    <t>Calculation</t>
  </si>
  <si>
    <t>Interchange Component</t>
  </si>
  <si>
    <r>
      <t xml:space="preserve">Freeway no. of through lanes (bidirectional total) </t>
    </r>
    <r>
      <rPr>
        <i/>
        <sz val="11"/>
        <color theme="1"/>
        <rFont val="Calibri"/>
        <family val="2"/>
        <scheme val="minor"/>
      </rPr>
      <t>(no.)</t>
    </r>
  </si>
  <si>
    <r>
      <t xml:space="preserve">XR no. of through lanes (bidirectional total) </t>
    </r>
    <r>
      <rPr>
        <i/>
        <sz val="11"/>
        <color theme="1"/>
        <rFont val="Calibri"/>
        <family val="2"/>
        <scheme val="minor"/>
      </rPr>
      <t>(no.)</t>
    </r>
  </si>
  <si>
    <r>
      <t xml:space="preserve">Number of LT lanes on the XR at intersections </t>
    </r>
    <r>
      <rPr>
        <i/>
        <sz val="11"/>
        <color theme="1"/>
        <rFont val="Calibri"/>
        <family val="2"/>
        <scheme val="minor"/>
      </rPr>
      <t>(no.)</t>
    </r>
  </si>
  <si>
    <r>
      <t xml:space="preserve">Nearest interchange gore distance within 0.5 mi
</t>
    </r>
    <r>
      <rPr>
        <i/>
        <sz val="11"/>
        <color theme="1"/>
        <rFont val="Calibri"/>
        <family val="2"/>
        <scheme val="minor"/>
      </rPr>
      <t>(1 = yes, 0 = no)</t>
    </r>
  </si>
  <si>
    <r>
      <t xml:space="preserve">95 percent CI LB </t>
    </r>
    <r>
      <rPr>
        <i/>
        <sz val="11"/>
        <color theme="1"/>
        <rFont val="Calibri"/>
        <family val="2"/>
        <scheme val="minor"/>
      </rPr>
      <t>(crashes/year)</t>
    </r>
  </si>
  <si>
    <r>
      <t xml:space="preserve">95 percent CI UB </t>
    </r>
    <r>
      <rPr>
        <i/>
        <sz val="11"/>
        <color theme="1"/>
        <rFont val="Calibri"/>
        <family val="2"/>
        <scheme val="minor"/>
      </rPr>
      <t>(crashes/year)</t>
    </r>
  </si>
  <si>
    <t>Expected KABC crash frequency considering exposure (only)</t>
  </si>
  <si>
    <r>
      <t>XR AADT</t>
    </r>
    <r>
      <rPr>
        <i/>
        <sz val="11"/>
        <color theme="1"/>
        <rFont val="Calibri"/>
        <family val="2"/>
        <scheme val="minor"/>
      </rPr>
      <t xml:space="preserve">  (minimum)</t>
    </r>
  </si>
  <si>
    <r>
      <t xml:space="preserve">XR AADT </t>
    </r>
    <r>
      <rPr>
        <i/>
        <sz val="11"/>
        <color theme="1"/>
        <rFont val="Calibri"/>
        <family val="2"/>
        <scheme val="minor"/>
      </rPr>
      <t>(maximum)</t>
    </r>
  </si>
  <si>
    <r>
      <t xml:space="preserve">Nearest interchange gore distance within 0.5 mi 
</t>
    </r>
    <r>
      <rPr>
        <i/>
        <sz val="11"/>
        <color theme="1"/>
        <rFont val="Calibri"/>
        <family val="2"/>
        <scheme val="minor"/>
      </rPr>
      <t>(1 = yes, 0 = no)</t>
    </r>
  </si>
  <si>
    <r>
      <t>Freeway no. of through lanes (bidirectional total)</t>
    </r>
    <r>
      <rPr>
        <i/>
        <sz val="11"/>
        <color theme="1"/>
        <rFont val="Calibri"/>
        <family val="2"/>
        <scheme val="minor"/>
      </rPr>
      <t xml:space="preserve"> (no.)</t>
    </r>
  </si>
  <si>
    <r>
      <t>XR no. of through lanes (bidirectional total)</t>
    </r>
    <r>
      <rPr>
        <i/>
        <sz val="11"/>
        <color theme="1"/>
        <rFont val="Calibri"/>
        <family val="2"/>
        <scheme val="minor"/>
      </rPr>
      <t xml:space="preserve"> (no.)</t>
    </r>
  </si>
  <si>
    <r>
      <t xml:space="preserve">COV of ramp volumes </t>
    </r>
    <r>
      <rPr>
        <i/>
        <sz val="11"/>
        <color theme="1"/>
        <rFont val="Calibri"/>
        <family val="2"/>
        <scheme val="minor"/>
      </rPr>
      <t>(no.)</t>
    </r>
  </si>
  <si>
    <t>Predicted Crash Frequency by Severity</t>
  </si>
  <si>
    <r>
      <t xml:space="preserve">Freeway AADT </t>
    </r>
    <r>
      <rPr>
        <sz val="11"/>
        <color theme="1"/>
        <rFont val="Calibri"/>
        <family val="2"/>
      </rPr>
      <t>≥</t>
    </r>
    <r>
      <rPr>
        <sz val="11"/>
        <color theme="1"/>
        <rFont val="Calibri"/>
        <family val="2"/>
        <scheme val="minor"/>
      </rPr>
      <t xml:space="preserve"> 200,000 vpd
</t>
    </r>
    <r>
      <rPr>
        <i/>
        <sz val="11"/>
        <color theme="1"/>
        <rFont val="Calibri"/>
        <family val="2"/>
        <scheme val="minor"/>
      </rPr>
      <t>(1 = yes, 0 = no; Value in vpd)</t>
    </r>
  </si>
  <si>
    <r>
      <t xml:space="preserve">XR AADT </t>
    </r>
    <r>
      <rPr>
        <sz val="11"/>
        <color theme="1"/>
        <rFont val="Calibri"/>
        <family val="2"/>
      </rPr>
      <t>≥</t>
    </r>
    <r>
      <rPr>
        <sz val="11"/>
        <color theme="1"/>
        <rFont val="Calibri"/>
        <family val="2"/>
        <scheme val="minor"/>
      </rPr>
      <t xml:space="preserve"> 30,000 vpd 
</t>
    </r>
    <r>
      <rPr>
        <i/>
        <sz val="11"/>
        <color theme="1"/>
        <rFont val="Calibri"/>
        <family val="2"/>
        <scheme val="minor"/>
      </rPr>
      <t>(1 = yes, 0 = no; Value in vpd)</t>
    </r>
  </si>
  <si>
    <r>
      <t xml:space="preserve">XR posted speed limit 
</t>
    </r>
    <r>
      <rPr>
        <i/>
        <sz val="11"/>
        <color theme="1"/>
        <rFont val="Calibri"/>
        <family val="2"/>
        <scheme val="minor"/>
      </rPr>
      <t>(Value in mph)</t>
    </r>
  </si>
  <si>
    <r>
      <t xml:space="preserve">Nearest XR adjacent intersection (signal or roundabout) within 0.10 mi of ramp terminal 
</t>
    </r>
    <r>
      <rPr>
        <i/>
        <sz val="11"/>
        <color theme="1"/>
        <rFont val="Calibri"/>
        <family val="2"/>
        <scheme val="minor"/>
      </rPr>
      <t>(1 = yes, 0 = no)</t>
    </r>
  </si>
  <si>
    <r>
      <t xml:space="preserve">Nearest interchange gore distance within 0.25 mi
</t>
    </r>
    <r>
      <rPr>
        <i/>
        <sz val="11"/>
        <color theme="1"/>
        <rFont val="Calibri"/>
        <family val="2"/>
        <scheme val="minor"/>
      </rPr>
      <t>(1 = yes, 0 = no)</t>
    </r>
  </si>
  <si>
    <r>
      <t xml:space="preserve">XR has four or more lanes (bidirectional total)
</t>
    </r>
    <r>
      <rPr>
        <i/>
        <sz val="11"/>
        <color theme="1"/>
        <rFont val="Calibri"/>
        <family val="2"/>
        <scheme val="minor"/>
      </rPr>
      <t>(1 = yes, 0 = no)</t>
    </r>
  </si>
  <si>
    <t>Crash Severity Probability</t>
  </si>
  <si>
    <r>
      <t xml:space="preserve">Freeway AADT </t>
    </r>
    <r>
      <rPr>
        <sz val="11"/>
        <color theme="1"/>
        <rFont val="Calibri"/>
        <family val="2"/>
      </rPr>
      <t>≥</t>
    </r>
    <r>
      <rPr>
        <sz val="11"/>
        <color theme="1"/>
        <rFont val="Calibri"/>
        <family val="2"/>
        <scheme val="minor"/>
      </rPr>
      <t xml:space="preserve"> 200,000 vpd</t>
    </r>
  </si>
  <si>
    <t>XR posted speed limit is 45 mph or greater</t>
  </si>
  <si>
    <t>Column 1</t>
  </si>
  <si>
    <t xml:space="preserve">KABC </t>
  </si>
  <si>
    <t>KABCO</t>
  </si>
  <si>
    <t>This variable is an indicator where 1 = yes and 0 = no if there are any high occupancy vehicle (HOV) or high occupancy toll (HOT) lanes on the freeway section within the interchange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</si>
</sst>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00"/>
    <numFmt numFmtId="165" formatCode="0.000"/>
  </numFmts>
  <fonts count="30" x14ac:knownFonts="1">
    <font>
      <sz val="11"/>
      <color theme="1"/>
      <name val="Calibri"/>
      <family val="2"/>
      <scheme val="minor"/>
    </font>
    <font>
      <b/>
      <sz val="11"/>
      <color theme="1"/>
      <name val="Calibri"/>
      <family val="2"/>
      <scheme val="minor"/>
    </font>
    <font>
      <b/>
      <u/>
      <sz val="11"/>
      <color theme="1"/>
      <name val="Calibri"/>
      <family val="2"/>
      <scheme val="minor"/>
    </font>
    <font>
      <b/>
      <sz val="11"/>
      <color rgb="FFFF0000"/>
      <name val="Calibri"/>
      <family val="2"/>
      <scheme val="minor"/>
    </font>
    <font>
      <sz val="10"/>
      <color theme="1"/>
      <name val="Arial"/>
      <family val="2"/>
    </font>
    <font>
      <b/>
      <sz val="10"/>
      <color theme="1"/>
      <name val="Arial"/>
      <family val="2"/>
    </font>
    <font>
      <sz val="11"/>
      <color rgb="FFFF0000"/>
      <name val="Calibri"/>
      <family val="2"/>
      <scheme val="minor"/>
    </font>
    <font>
      <i/>
      <sz val="11"/>
      <color theme="1"/>
      <name val="Calibri"/>
      <family val="2"/>
      <scheme val="minor"/>
    </font>
    <font>
      <u/>
      <sz val="11"/>
      <color theme="1"/>
      <name val="Calibri"/>
      <family val="2"/>
      <scheme val="minor"/>
    </font>
    <font>
      <sz val="11"/>
      <name val="Calibri"/>
      <family val="2"/>
      <scheme val="minor"/>
    </font>
    <font>
      <b/>
      <vertAlign val="subscript"/>
      <sz val="9"/>
      <color indexed="81"/>
      <name val="Tahoma"/>
      <family val="2"/>
    </font>
    <font>
      <sz val="9"/>
      <color indexed="81"/>
      <name val="Tahoma"/>
      <family val="2"/>
    </font>
    <font>
      <b/>
      <sz val="9"/>
      <color indexed="81"/>
      <name val="Tahoma"/>
      <family val="2"/>
    </font>
    <font>
      <b/>
      <sz val="12"/>
      <color theme="1"/>
      <name val="Calibri"/>
      <family val="2"/>
      <scheme val="minor"/>
    </font>
    <font>
      <sz val="11"/>
      <color rgb="FFC00000"/>
      <name val="Calibri"/>
      <family val="2"/>
      <scheme val="minor"/>
    </font>
    <font>
      <b/>
      <i/>
      <sz val="11"/>
      <color theme="1"/>
      <name val="Calibri"/>
      <family val="2"/>
      <scheme val="minor"/>
    </font>
    <font>
      <b/>
      <sz val="15"/>
      <color theme="3"/>
      <name val="Calibri"/>
      <family val="2"/>
      <scheme val="minor"/>
    </font>
    <font>
      <b/>
      <sz val="13"/>
      <color theme="3"/>
      <name val="Calibri"/>
      <family val="2"/>
      <scheme val="minor"/>
    </font>
    <font>
      <sz val="11"/>
      <color theme="0"/>
      <name val="Calibri"/>
      <family val="2"/>
      <scheme val="minor"/>
    </font>
    <font>
      <sz val="18"/>
      <name val="Calibri"/>
      <family val="2"/>
      <scheme val="minor"/>
    </font>
    <font>
      <b/>
      <sz val="13"/>
      <name val="Calibri"/>
      <family val="2"/>
      <scheme val="minor"/>
    </font>
    <font>
      <b/>
      <i/>
      <sz val="11"/>
      <name val="Calibri"/>
      <family val="2"/>
      <scheme val="minor"/>
    </font>
    <font>
      <b/>
      <i/>
      <sz val="11"/>
      <color theme="0"/>
      <name val="Calibri"/>
      <family val="2"/>
      <scheme val="minor"/>
    </font>
    <font>
      <b/>
      <sz val="12"/>
      <name val="Calibri"/>
      <family val="2"/>
      <scheme val="minor"/>
    </font>
    <font>
      <b/>
      <sz val="11"/>
      <name val="Calibri"/>
      <family val="2"/>
      <scheme val="minor"/>
    </font>
    <font>
      <b/>
      <sz val="11"/>
      <color theme="3"/>
      <name val="Calibri"/>
      <family val="2"/>
      <scheme val="minor"/>
    </font>
    <font>
      <b/>
      <sz val="15"/>
      <name val="Calibri"/>
      <family val="2"/>
      <scheme val="minor"/>
    </font>
    <font>
      <sz val="12"/>
      <color theme="1"/>
      <name val="Calibri"/>
      <family val="2"/>
      <scheme val="minor"/>
    </font>
    <font>
      <sz val="10"/>
      <name val="Calibri"/>
      <family val="2"/>
      <scheme val="minor"/>
    </font>
    <font>
      <sz val="11"/>
      <color theme="1"/>
      <name val="Calibri"/>
      <family val="2"/>
    </font>
  </fonts>
  <fills count="12">
    <fill>
      <patternFill patternType="none"/>
    </fill>
    <fill>
      <patternFill patternType="gray125"/>
    </fill>
    <fill>
      <patternFill patternType="solid">
        <fgColor theme="0" tint="-4.9989318521683403E-2"/>
        <bgColor indexed="64"/>
      </patternFill>
    </fill>
    <fill>
      <patternFill patternType="gray125">
        <bgColor theme="7" tint="0.79998168889431442"/>
      </patternFill>
    </fill>
    <fill>
      <patternFill patternType="gray125">
        <bgColor rgb="FFFFFFB9"/>
      </patternFill>
    </fill>
    <fill>
      <patternFill patternType="solid">
        <fgColor theme="6" tint="0.79998168889431442"/>
        <bgColor indexed="64"/>
      </patternFill>
    </fill>
    <fill>
      <patternFill patternType="lightDown">
        <fgColor theme="0"/>
        <bgColor rgb="FF92D050"/>
      </patternFill>
    </fill>
    <fill>
      <patternFill patternType="gray0625">
        <fgColor theme="0"/>
        <bgColor rgb="FFDCDADA"/>
      </patternFill>
    </fill>
    <fill>
      <patternFill patternType="darkUp">
        <fgColor theme="0"/>
        <bgColor rgb="FF93E3FF"/>
      </patternFill>
    </fill>
    <fill>
      <patternFill patternType="darkDown">
        <fgColor theme="0"/>
        <bgColor rgb="FF92D050"/>
      </patternFill>
    </fill>
    <fill>
      <patternFill patternType="darkTrellis">
        <fgColor theme="0"/>
        <bgColor rgb="FFDCDADA"/>
      </patternFill>
    </fill>
    <fill>
      <patternFill patternType="darkDown">
        <fgColor theme="0"/>
        <bgColor rgb="FFABDB77"/>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right/>
      <top/>
      <bottom style="thin">
        <color theme="0" tint="-0.34998626667073579"/>
      </bottom>
      <diagonal/>
    </border>
    <border>
      <left/>
      <right/>
      <top style="thin">
        <color rgb="FFA6A6A6"/>
      </top>
      <bottom style="thin">
        <color rgb="FFA6A6A6"/>
      </bottom>
      <diagonal/>
    </border>
    <border>
      <left/>
      <right/>
      <top/>
      <bottom style="thin">
        <color rgb="FFA6A6A6"/>
      </bottom>
      <diagonal/>
    </border>
    <border>
      <left/>
      <right/>
      <top style="thin">
        <color rgb="FFA6A6A6"/>
      </top>
      <bottom/>
      <diagonal/>
    </border>
    <border>
      <left/>
      <right/>
      <top style="thin">
        <color indexed="64"/>
      </top>
      <bottom/>
      <diagonal/>
    </border>
    <border>
      <left/>
      <right/>
      <top/>
      <bottom style="thin">
        <color indexed="64"/>
      </bottom>
      <diagonal/>
    </border>
    <border>
      <left/>
      <right/>
      <top style="thin">
        <color auto="1"/>
      </top>
      <bottom style="thin">
        <color auto="1"/>
      </bottom>
      <diagonal/>
    </border>
    <border>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right/>
      <top/>
      <bottom style="medium">
        <color theme="4" tint="0.39997558519241921"/>
      </bottom>
      <diagonal/>
    </border>
    <border>
      <left/>
      <right/>
      <top/>
      <bottom style="thick">
        <color auto="1"/>
      </bottom>
      <diagonal/>
    </border>
    <border>
      <left/>
      <right/>
      <top style="thin">
        <color auto="1"/>
      </top>
      <bottom style="thick">
        <color auto="1"/>
      </bottom>
      <diagonal/>
    </border>
    <border>
      <left/>
      <right/>
      <top style="thin">
        <color rgb="FFA6A6A6"/>
      </top>
      <bottom style="medium">
        <color auto="1"/>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0" fontId="16" fillId="0" borderId="14" applyNumberFormat="0" applyFill="0" applyAlignment="0" applyProtection="0"/>
    <xf numFmtId="0" fontId="17" fillId="0" borderId="15" applyNumberFormat="0" applyFill="0" applyAlignment="0" applyProtection="0"/>
    <xf numFmtId="0" fontId="25" fillId="0" borderId="17" applyNumberFormat="0" applyFill="0" applyAlignment="0" applyProtection="0"/>
  </cellStyleXfs>
  <cellXfs count="119">
    <xf numFmtId="0" fontId="0" fillId="0" borderId="0" xfId="0"/>
    <xf numFmtId="0" fontId="0" fillId="0" borderId="0" xfId="0" applyAlignment="1">
      <alignment vertical="center"/>
    </xf>
    <xf numFmtId="0" fontId="0" fillId="0" borderId="0" xfId="0" applyAlignment="1">
      <alignment vertical="center" wrapText="1"/>
    </xf>
    <xf numFmtId="164" fontId="0" fillId="0" borderId="0" xfId="0" applyNumberFormat="1" applyAlignment="1">
      <alignment horizontal="center" vertical="center"/>
    </xf>
    <xf numFmtId="0" fontId="0" fillId="0" borderId="0" xfId="0"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horizontal="center" vertical="center"/>
    </xf>
    <xf numFmtId="3" fontId="0" fillId="0" borderId="0" xfId="0" applyNumberFormat="1" applyAlignment="1">
      <alignment horizontal="center" vertical="center"/>
    </xf>
    <xf numFmtId="0" fontId="7" fillId="0" borderId="0" xfId="0" applyFont="1" applyAlignment="1">
      <alignment horizontal="left" vertical="center"/>
    </xf>
    <xf numFmtId="3" fontId="0" fillId="0" borderId="6" xfId="0" applyNumberFormat="1" applyBorder="1" applyAlignment="1">
      <alignment horizontal="center" vertical="center"/>
    </xf>
    <xf numFmtId="2" fontId="0" fillId="0" borderId="1" xfId="0" applyNumberFormat="1" applyBorder="1" applyAlignment="1">
      <alignment horizontal="center" vertical="center"/>
    </xf>
    <xf numFmtId="164" fontId="0" fillId="0" borderId="7" xfId="0" applyNumberFormat="1" applyBorder="1" applyAlignment="1">
      <alignment horizontal="center" vertical="center"/>
    </xf>
    <xf numFmtId="164" fontId="0" fillId="0" borderId="8" xfId="0" applyNumberFormat="1" applyBorder="1" applyAlignment="1">
      <alignment horizontal="center" vertical="center"/>
    </xf>
    <xf numFmtId="164" fontId="0" fillId="0" borderId="9" xfId="0" applyNumberFormat="1" applyBorder="1" applyAlignment="1">
      <alignment horizontal="center" vertical="center"/>
    </xf>
    <xf numFmtId="0" fontId="4" fillId="0" borderId="0" xfId="0" applyFont="1" applyAlignment="1">
      <alignment vertical="center" wrapText="1"/>
    </xf>
    <xf numFmtId="0" fontId="1" fillId="0" borderId="0" xfId="0" applyFont="1" applyAlignment="1">
      <alignment vertical="center"/>
    </xf>
    <xf numFmtId="0" fontId="8" fillId="0" borderId="0" xfId="0" applyFont="1" applyAlignment="1">
      <alignment horizontal="center" vertical="center"/>
    </xf>
    <xf numFmtId="0" fontId="1" fillId="0" borderId="0" xfId="0" applyFont="1" applyAlignment="1">
      <alignment horizontal="center"/>
    </xf>
    <xf numFmtId="2" fontId="0" fillId="0" borderId="0" xfId="0" applyNumberFormat="1" applyAlignment="1">
      <alignment horizontal="center" vertical="center"/>
    </xf>
    <xf numFmtId="0" fontId="0" fillId="0" borderId="0" xfId="0" applyAlignment="1">
      <alignment horizontal="right" vertical="center"/>
    </xf>
    <xf numFmtId="1" fontId="0" fillId="0" borderId="7" xfId="0" applyNumberFormat="1" applyBorder="1" applyAlignment="1">
      <alignment horizontal="center" vertical="center"/>
    </xf>
    <xf numFmtId="165" fontId="0" fillId="0" borderId="8" xfId="0" applyNumberFormat="1" applyBorder="1" applyAlignment="1">
      <alignment horizontal="center" vertical="center"/>
    </xf>
    <xf numFmtId="165" fontId="0" fillId="0" borderId="7" xfId="0" applyNumberFormat="1" applyBorder="1" applyAlignment="1">
      <alignment horizontal="center" vertical="center"/>
    </xf>
    <xf numFmtId="165" fontId="0" fillId="0" borderId="9" xfId="0" applyNumberFormat="1" applyBorder="1" applyAlignment="1">
      <alignment horizontal="center" vertical="center"/>
    </xf>
    <xf numFmtId="165" fontId="0" fillId="0" borderId="0" xfId="0" applyNumberFormat="1" applyAlignment="1">
      <alignment horizontal="center" vertical="center"/>
    </xf>
    <xf numFmtId="0" fontId="2" fillId="0" borderId="0" xfId="0" applyFont="1" applyAlignment="1">
      <alignment horizontal="left"/>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0" xfId="0" applyFill="1" applyBorder="1" applyAlignment="1">
      <alignment horizontal="center" vertical="center"/>
    </xf>
    <xf numFmtId="0" fontId="15" fillId="0" borderId="0" xfId="0" applyFont="1" applyAlignment="1">
      <alignment vertical="center"/>
    </xf>
    <xf numFmtId="3" fontId="0" fillId="4" borderId="12" xfId="0" applyNumberFormat="1" applyFill="1" applyBorder="1" applyAlignment="1">
      <alignment horizontal="center" vertical="center"/>
    </xf>
    <xf numFmtId="0" fontId="1" fillId="0" borderId="0" xfId="0" applyFont="1" applyAlignment="1">
      <alignment horizontal="center" vertical="center"/>
    </xf>
    <xf numFmtId="0" fontId="0" fillId="0" borderId="0" xfId="0" applyAlignment="1">
      <alignment horizontal="left" vertical="center" wrapText="1"/>
    </xf>
    <xf numFmtId="0" fontId="9" fillId="3" borderId="12" xfId="0" applyFont="1" applyFill="1" applyBorder="1" applyAlignment="1">
      <alignment horizontal="center" vertical="center"/>
    </xf>
    <xf numFmtId="0" fontId="9" fillId="3" borderId="10" xfId="0" applyFont="1" applyFill="1" applyBorder="1" applyAlignment="1">
      <alignment horizontal="center" vertical="center"/>
    </xf>
    <xf numFmtId="0" fontId="0" fillId="0" borderId="10" xfId="0" applyBorder="1" applyAlignment="1">
      <alignment horizontal="center" vertical="center"/>
    </xf>
    <xf numFmtId="0" fontId="0" fillId="3" borderId="12" xfId="0" applyFill="1" applyBorder="1" applyAlignment="1">
      <alignment horizontal="center" vertical="center"/>
    </xf>
    <xf numFmtId="0" fontId="0" fillId="0" borderId="0" xfId="0" applyAlignment="1">
      <alignment vertical="top" wrapText="1"/>
    </xf>
    <xf numFmtId="0" fontId="19" fillId="0" borderId="16" xfId="1" applyFont="1" applyBorder="1" applyAlignment="1">
      <alignment horizontal="center" vertical="center"/>
    </xf>
    <xf numFmtId="0" fontId="15" fillId="0" borderId="0" xfId="0" applyFont="1"/>
    <xf numFmtId="0" fontId="4" fillId="0" borderId="0" xfId="0" applyFont="1"/>
    <xf numFmtId="0" fontId="15" fillId="0" borderId="0" xfId="0" applyFont="1" applyAlignment="1">
      <alignment vertical="center" wrapText="1"/>
    </xf>
    <xf numFmtId="0" fontId="0" fillId="0" borderId="0" xfId="0" applyAlignment="1">
      <alignment wrapText="1"/>
    </xf>
    <xf numFmtId="0" fontId="0" fillId="0" borderId="0" xfId="0" applyAlignment="1">
      <alignment vertical="top"/>
    </xf>
    <xf numFmtId="0" fontId="15" fillId="0" borderId="0" xfId="0" applyFont="1" applyAlignment="1">
      <alignment wrapText="1"/>
    </xf>
    <xf numFmtId="0" fontId="21" fillId="0" borderId="0" xfId="2" applyFont="1" applyBorder="1" applyAlignment="1"/>
    <xf numFmtId="0" fontId="21" fillId="0" borderId="0" xfId="2" applyFont="1" applyBorder="1" applyAlignment="1">
      <alignment wrapText="1"/>
    </xf>
    <xf numFmtId="0" fontId="15" fillId="0" borderId="0" xfId="0" applyFont="1" applyAlignment="1">
      <alignment horizontal="left" wrapText="1"/>
    </xf>
    <xf numFmtId="0" fontId="1" fillId="0" borderId="0" xfId="0" applyFont="1" applyAlignment="1">
      <alignment horizontal="center" wrapText="1"/>
    </xf>
    <xf numFmtId="0" fontId="23" fillId="0" borderId="0" xfId="1" applyFont="1" applyBorder="1" applyAlignment="1">
      <alignment vertical="top"/>
    </xf>
    <xf numFmtId="0" fontId="14" fillId="0" borderId="0" xfId="0" applyFont="1" applyAlignment="1">
      <alignment horizontal="left" vertical="top"/>
    </xf>
    <xf numFmtId="0" fontId="18" fillId="0" borderId="0" xfId="0" applyFont="1" applyAlignment="1">
      <alignment vertical="center"/>
    </xf>
    <xf numFmtId="165" fontId="0" fillId="0" borderId="9" xfId="0" applyNumberFormat="1" applyBorder="1" applyAlignment="1">
      <alignment horizontal="center" vertical="top"/>
    </xf>
    <xf numFmtId="165" fontId="0" fillId="0" borderId="0" xfId="0" applyNumberFormat="1" applyAlignment="1">
      <alignment horizontal="center"/>
    </xf>
    <xf numFmtId="0" fontId="0" fillId="0" borderId="0" xfId="0" applyAlignment="1">
      <alignment horizontal="left"/>
    </xf>
    <xf numFmtId="0" fontId="1" fillId="0" borderId="6" xfId="0" applyFont="1" applyBorder="1" applyAlignment="1">
      <alignment horizontal="center"/>
    </xf>
    <xf numFmtId="0" fontId="0" fillId="3" borderId="13" xfId="0" applyFill="1" applyBorder="1" applyAlignment="1">
      <alignment horizontal="center" vertical="center"/>
    </xf>
    <xf numFmtId="0" fontId="26" fillId="0" borderId="0" xfId="1" applyFont="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1" fillId="2" borderId="2" xfId="0" applyFont="1" applyFill="1" applyBorder="1" applyAlignment="1">
      <alignment vertical="center"/>
    </xf>
    <xf numFmtId="0" fontId="13" fillId="2" borderId="2" xfId="0" applyFont="1" applyFill="1" applyBorder="1" applyAlignment="1">
      <alignment vertical="center"/>
    </xf>
    <xf numFmtId="0" fontId="27" fillId="2" borderId="2" xfId="0" applyFont="1" applyFill="1" applyBorder="1" applyAlignment="1">
      <alignment vertical="center"/>
    </xf>
    <xf numFmtId="0" fontId="0" fillId="0" borderId="2" xfId="0" applyBorder="1" applyAlignment="1">
      <alignment vertical="center"/>
    </xf>
    <xf numFmtId="164" fontId="0" fillId="0" borderId="0" xfId="0" applyNumberFormat="1" applyAlignment="1">
      <alignment horizontal="center"/>
    </xf>
    <xf numFmtId="0" fontId="1" fillId="0" borderId="7" xfId="0" applyFont="1" applyBorder="1" applyAlignment="1">
      <alignment horizontal="center" wrapText="1"/>
    </xf>
    <xf numFmtId="0" fontId="18" fillId="0" borderId="0" xfId="0" applyFont="1" applyAlignment="1">
      <alignment vertical="center" wrapText="1"/>
    </xf>
    <xf numFmtId="0" fontId="14" fillId="0" borderId="0" xfId="0" applyFont="1" applyAlignment="1">
      <alignment vertical="center"/>
    </xf>
    <xf numFmtId="0" fontId="23" fillId="2" borderId="2" xfId="2" applyFont="1" applyFill="1" applyBorder="1" applyAlignment="1">
      <alignment vertical="center"/>
    </xf>
    <xf numFmtId="0" fontId="0" fillId="0" borderId="18" xfId="0" applyBorder="1" applyAlignment="1">
      <alignment vertical="center"/>
    </xf>
    <xf numFmtId="0" fontId="23" fillId="2" borderId="3" xfId="2" applyFont="1" applyFill="1" applyBorder="1" applyAlignment="1">
      <alignment vertical="center"/>
    </xf>
    <xf numFmtId="0" fontId="20" fillId="5" borderId="2" xfId="2" applyFont="1" applyFill="1" applyBorder="1" applyAlignment="1">
      <alignment vertical="center"/>
    </xf>
    <xf numFmtId="0" fontId="14" fillId="0" borderId="0" xfId="0" applyFont="1" applyAlignment="1">
      <alignment vertical="top"/>
    </xf>
    <xf numFmtId="0" fontId="24" fillId="2" borderId="2" xfId="0" applyFont="1" applyFill="1" applyBorder="1" applyAlignment="1">
      <alignment vertical="center"/>
    </xf>
    <xf numFmtId="0" fontId="20" fillId="2" borderId="2" xfId="2" applyFont="1" applyFill="1" applyBorder="1" applyAlignment="1">
      <alignment vertical="center"/>
    </xf>
    <xf numFmtId="0" fontId="1" fillId="0" borderId="0" xfId="0" applyFont="1" applyAlignment="1">
      <alignment wrapText="1"/>
    </xf>
    <xf numFmtId="0" fontId="26" fillId="0" borderId="0" xfId="1" applyFont="1" applyBorder="1" applyAlignment="1">
      <alignment vertical="top"/>
    </xf>
    <xf numFmtId="0" fontId="20" fillId="2" borderId="3" xfId="2" applyFont="1" applyFill="1" applyBorder="1" applyAlignment="1">
      <alignment vertical="center"/>
    </xf>
    <xf numFmtId="0" fontId="0" fillId="0" borderId="4" xfId="0" applyBorder="1" applyAlignment="1">
      <alignment vertical="center"/>
    </xf>
    <xf numFmtId="165" fontId="0" fillId="0" borderId="20" xfId="0" applyNumberFormat="1" applyBorder="1" applyAlignment="1">
      <alignment horizontal="center" vertical="center"/>
    </xf>
    <xf numFmtId="2" fontId="0" fillId="6" borderId="18" xfId="0" applyNumberFormat="1" applyFill="1" applyBorder="1" applyAlignment="1">
      <alignment horizontal="center" vertical="center"/>
    </xf>
    <xf numFmtId="0" fontId="0" fillId="7" borderId="13" xfId="0" applyFill="1" applyBorder="1" applyAlignment="1">
      <alignment horizontal="center" vertical="center"/>
    </xf>
    <xf numFmtId="0" fontId="0" fillId="7" borderId="12" xfId="0" applyFill="1" applyBorder="1" applyAlignment="1">
      <alignment horizontal="center" vertical="center"/>
    </xf>
    <xf numFmtId="3" fontId="0" fillId="7" borderId="12" xfId="0" applyNumberFormat="1" applyFill="1" applyBorder="1" applyAlignment="1">
      <alignment horizontal="center" vertical="center"/>
    </xf>
    <xf numFmtId="0" fontId="0" fillId="7" borderId="10" xfId="0" applyFill="1" applyBorder="1" applyAlignment="1">
      <alignment horizontal="center" vertical="center"/>
    </xf>
    <xf numFmtId="164" fontId="0" fillId="8" borderId="13" xfId="0" applyNumberFormat="1" applyFill="1" applyBorder="1" applyAlignment="1">
      <alignment horizontal="center" vertical="center"/>
    </xf>
    <xf numFmtId="164" fontId="0" fillId="8" borderId="12" xfId="0" applyNumberFormat="1" applyFill="1" applyBorder="1" applyAlignment="1">
      <alignment horizontal="center" vertical="center"/>
    </xf>
    <xf numFmtId="164" fontId="0" fillId="8" borderId="10" xfId="0" applyNumberFormat="1" applyFill="1" applyBorder="1" applyAlignment="1">
      <alignment horizontal="center" vertical="center"/>
    </xf>
    <xf numFmtId="0" fontId="26" fillId="0" borderId="0" xfId="1" applyFont="1" applyBorder="1" applyAlignment="1">
      <alignment horizontal="left" vertical="center"/>
    </xf>
    <xf numFmtId="0" fontId="0" fillId="0" borderId="21" xfId="0" applyBorder="1" applyAlignment="1">
      <alignment vertical="center" wrapText="1"/>
    </xf>
    <xf numFmtId="0" fontId="15" fillId="0" borderId="11" xfId="0" applyFont="1" applyBorder="1"/>
    <xf numFmtId="0" fontId="15" fillId="0" borderId="11" xfId="0" applyFont="1" applyBorder="1" applyAlignment="1">
      <alignment wrapText="1"/>
    </xf>
    <xf numFmtId="0" fontId="0" fillId="0" borderId="22" xfId="0" applyBorder="1" applyAlignment="1">
      <alignment vertical="center" wrapText="1"/>
    </xf>
    <xf numFmtId="0" fontId="28" fillId="3" borderId="5" xfId="0" applyFont="1" applyFill="1" applyBorder="1" applyAlignment="1">
      <alignment horizontal="center" vertical="center"/>
    </xf>
    <xf numFmtId="0" fontId="28" fillId="9" borderId="16" xfId="0" applyFont="1" applyFill="1" applyBorder="1" applyAlignment="1">
      <alignment horizontal="center" vertical="center" wrapText="1"/>
    </xf>
    <xf numFmtId="0" fontId="28" fillId="8" borderId="16" xfId="0" applyFont="1" applyFill="1" applyBorder="1" applyAlignment="1">
      <alignment horizontal="center" vertical="center"/>
    </xf>
    <xf numFmtId="0" fontId="28" fillId="10" borderId="5" xfId="0" applyFont="1" applyFill="1" applyBorder="1" applyAlignment="1">
      <alignment horizontal="center" vertical="center"/>
    </xf>
    <xf numFmtId="0" fontId="21" fillId="0" borderId="0" xfId="0" applyFont="1" applyAlignment="1">
      <alignment vertical="center" wrapText="1"/>
    </xf>
    <xf numFmtId="0" fontId="9" fillId="2" borderId="0" xfId="0" applyFont="1" applyFill="1" applyAlignment="1">
      <alignment vertical="center"/>
    </xf>
    <xf numFmtId="0" fontId="24" fillId="2" borderId="0" xfId="2" applyFont="1" applyFill="1" applyBorder="1" applyAlignment="1">
      <alignment vertical="center"/>
    </xf>
    <xf numFmtId="0" fontId="24" fillId="2" borderId="0" xfId="3" applyFont="1" applyFill="1" applyBorder="1" applyAlignment="1">
      <alignment vertical="center"/>
    </xf>
    <xf numFmtId="2" fontId="0" fillId="9" borderId="11" xfId="0" applyNumberFormat="1" applyFill="1" applyBorder="1" applyAlignment="1">
      <alignment horizontal="center" vertical="center"/>
    </xf>
    <xf numFmtId="2" fontId="0" fillId="9" borderId="12" xfId="0" applyNumberFormat="1" applyFill="1" applyBorder="1" applyAlignment="1">
      <alignment horizontal="center" vertical="center"/>
    </xf>
    <xf numFmtId="2" fontId="0" fillId="9" borderId="19" xfId="0" applyNumberFormat="1" applyFill="1" applyBorder="1" applyAlignment="1">
      <alignment horizontal="center" vertical="center"/>
    </xf>
    <xf numFmtId="2" fontId="0" fillId="11" borderId="11" xfId="0" applyNumberFormat="1" applyFill="1" applyBorder="1" applyAlignment="1">
      <alignment horizontal="center" vertical="center"/>
    </xf>
    <xf numFmtId="2" fontId="0" fillId="11" borderId="12" xfId="0" applyNumberFormat="1" applyFill="1" applyBorder="1" applyAlignment="1">
      <alignment horizontal="center" vertical="center"/>
    </xf>
    <xf numFmtId="2" fontId="0" fillId="11" borderId="19" xfId="0" applyNumberFormat="1" applyFill="1" applyBorder="1" applyAlignment="1">
      <alignment horizontal="center" vertical="center"/>
    </xf>
    <xf numFmtId="2" fontId="0" fillId="11" borderId="10" xfId="0" applyNumberFormat="1" applyFill="1" applyBorder="1" applyAlignment="1">
      <alignment horizontal="center" vertical="center"/>
    </xf>
    <xf numFmtId="2" fontId="0" fillId="8" borderId="11" xfId="0" applyNumberFormat="1" applyFill="1" applyBorder="1" applyAlignment="1">
      <alignment horizontal="center" vertical="center"/>
    </xf>
    <xf numFmtId="2" fontId="0" fillId="8" borderId="12" xfId="0" applyNumberFormat="1" applyFill="1" applyBorder="1" applyAlignment="1">
      <alignment horizontal="center" vertical="center"/>
    </xf>
    <xf numFmtId="2" fontId="0" fillId="8" borderId="10" xfId="0" applyNumberFormat="1" applyFill="1" applyBorder="1" applyAlignment="1">
      <alignment horizontal="center" vertical="center"/>
    </xf>
    <xf numFmtId="0" fontId="22" fillId="0" borderId="0" xfId="0" applyFont="1" applyAlignment="1">
      <alignment horizontal="left" vertical="center" wrapText="1"/>
    </xf>
    <xf numFmtId="0" fontId="0" fillId="3" borderId="10" xfId="0" applyFill="1" applyBorder="1" applyAlignment="1">
      <alignment horizontal="center" vertical="center"/>
    </xf>
    <xf numFmtId="0" fontId="18" fillId="0" borderId="0" xfId="0" applyFont="1" applyAlignment="1">
      <alignment horizontal="center" vertical="center"/>
    </xf>
    <xf numFmtId="0" fontId="24" fillId="0" borderId="0" xfId="0" applyFont="1"/>
    <xf numFmtId="0" fontId="24" fillId="0" borderId="0" xfId="0" applyFont="1" applyAlignment="1">
      <alignment horizontal="left"/>
    </xf>
    <xf numFmtId="0" fontId="4" fillId="0" borderId="0" xfId="0" applyFont="1" applyAlignment="1">
      <alignment horizontal="left" vertical="center" wrapText="1"/>
    </xf>
  </cellXfs>
  <cellStyles count="4">
    <cellStyle name="Heading 1" xfId="1" builtinId="16"/>
    <cellStyle name="Heading 2" xfId="2" builtinId="17"/>
    <cellStyle name="Heading 3" xfId="3" builtinId="18"/>
    <cellStyle name="Normal" xfId="0" builtinId="0"/>
  </cellStyles>
  <dxfs count="149">
    <dxf>
      <numFmt numFmtId="164" formatCode="0.0000"/>
      <alignment horizontal="center" vertical="center" textRotation="0" wrapText="0" indent="0" justifyLastLine="0" shrinkToFit="0" readingOrder="0"/>
    </dxf>
    <dxf>
      <numFmt numFmtId="164" formatCode="0.0000"/>
      <alignment horizontal="center" vertical="center" textRotation="0" wrapText="0" indent="0" justifyLastLine="0" shrinkToFit="0" readingOrder="0"/>
    </dxf>
    <dxf>
      <numFmt numFmtId="164" formatCode="0.0000"/>
      <alignment horizontal="center" vertical="center" textRotation="0" wrapText="0" indent="0" justifyLastLine="0" shrinkToFit="0" readingOrder="0"/>
    </dxf>
    <dxf>
      <numFmt numFmtId="164" formatCode="0.0000"/>
      <alignment horizontal="center" vertical="center" textRotation="0" wrapText="0" indent="0" justifyLastLine="0" shrinkToFit="0" readingOrder="0"/>
    </dxf>
    <dxf>
      <numFmt numFmtId="164" formatCode="0.0000"/>
      <alignment horizontal="center" vertical="center" textRotation="0" wrapText="0" indent="0" justifyLastLine="0" shrinkToFit="0" readingOrder="0"/>
    </dxf>
    <dxf>
      <numFmt numFmtId="164" formatCode="0.0000"/>
      <alignment horizontal="center" vertical="center" textRotation="0" wrapText="0" indent="0" justifyLastLine="0" shrinkToFit="0" readingOrder="0"/>
    </dxf>
    <dxf>
      <numFmt numFmtId="164" formatCode="0.0000"/>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font>
      <alignment horizontal="general" vertical="bottom" textRotation="0" wrapText="1" indent="0" justifyLastLine="0" shrinkToFit="0" readingOrder="0"/>
    </dxf>
    <dxf>
      <numFmt numFmtId="164" formatCode="0.0000"/>
      <alignment horizontal="center" vertical="center" textRotation="0" wrapText="0" indent="0" justifyLastLine="0" shrinkToFit="0" readingOrder="0"/>
      <border diagonalUp="0" diagonalDown="0">
        <left/>
        <right/>
        <top style="thin">
          <color rgb="FFA6A6A6"/>
        </top>
        <bottom/>
        <vertical/>
        <horizontal/>
      </border>
    </dxf>
    <dxf>
      <numFmt numFmtId="164" formatCode="0.0000"/>
      <alignment horizontal="center" vertical="center" textRotation="0" wrapText="0" indent="0" justifyLastLine="0" shrinkToFit="0" readingOrder="0"/>
      <border diagonalUp="0" diagonalDown="0">
        <left/>
        <right/>
        <top style="thin">
          <color rgb="FFA6A6A6"/>
        </top>
        <bottom/>
        <vertical/>
        <horizontal/>
      </border>
    </dxf>
    <dxf>
      <numFmt numFmtId="164" formatCode="0.0000"/>
      <alignment horizontal="center" vertical="center" textRotation="0" wrapText="0" indent="0" justifyLastLine="0" shrinkToFit="0" readingOrder="0"/>
      <border diagonalUp="0" diagonalDown="0">
        <left/>
        <right/>
        <top style="thin">
          <color rgb="FFA6A6A6"/>
        </top>
        <bottom/>
        <vertical/>
        <horizontal/>
      </border>
    </dxf>
    <dxf>
      <numFmt numFmtId="164" formatCode="0.0000"/>
      <alignment horizontal="center" vertical="center" textRotation="0" wrapText="0" indent="0" justifyLastLine="0" shrinkToFit="0" readingOrder="0"/>
      <border diagonalUp="0" diagonalDown="0">
        <left/>
        <right/>
        <top style="thin">
          <color rgb="FFA6A6A6"/>
        </top>
        <bottom/>
        <vertical/>
        <horizontal/>
      </border>
    </dxf>
    <dxf>
      <numFmt numFmtId="164" formatCode="0.0000"/>
      <alignment horizontal="center" vertical="center" textRotation="0" wrapText="0" indent="0" justifyLastLine="0" shrinkToFit="0" readingOrder="0"/>
      <border diagonalUp="0" diagonalDown="0">
        <left/>
        <right/>
        <top style="thin">
          <color rgb="FFA6A6A6"/>
        </top>
        <bottom/>
        <vertical/>
        <horizontal/>
      </border>
    </dxf>
    <dxf>
      <numFmt numFmtId="164" formatCode="0.0000"/>
      <alignment horizontal="center" vertical="center" textRotation="0" wrapText="0" indent="0" justifyLastLine="0" shrinkToFit="0" readingOrder="0"/>
      <border diagonalUp="0" diagonalDown="0">
        <left/>
        <right/>
        <top style="thin">
          <color rgb="FFA6A6A6"/>
        </top>
        <bottom/>
        <vertical/>
        <horizontal/>
      </border>
    </dxf>
    <dxf>
      <numFmt numFmtId="164" formatCode="0.0000"/>
      <alignment horizontal="center" vertical="center" textRotation="0" wrapText="0" indent="0" justifyLastLine="0" shrinkToFit="0" readingOrder="0"/>
      <border diagonalUp="0" diagonalDown="0">
        <left/>
        <right/>
        <top style="thin">
          <color rgb="FFA6A6A6"/>
        </top>
        <bottom/>
        <vertical/>
        <horizontal/>
      </border>
    </dxf>
    <dxf>
      <numFmt numFmtId="164" formatCode="0.0000"/>
      <alignment horizontal="center" vertical="center" textRotation="0" wrapText="0" indent="0" justifyLastLine="0" shrinkToFit="0" readingOrder="0"/>
      <border diagonalUp="0" diagonalDown="0">
        <left/>
        <right/>
        <top style="thin">
          <color rgb="FFA6A6A6"/>
        </top>
        <bottom/>
        <vertical/>
        <horizontal/>
      </border>
    </dxf>
    <dxf>
      <numFmt numFmtId="164" formatCode="0.0000"/>
      <alignment horizontal="center" vertical="center" textRotation="0" wrapText="0" indent="0" justifyLastLine="0" shrinkToFit="0" readingOrder="0"/>
      <border diagonalUp="0" diagonalDown="0">
        <left/>
        <right/>
        <top style="thin">
          <color rgb="FFA6A6A6"/>
        </top>
        <bottom/>
        <vertical/>
        <horizontal/>
      </border>
    </dxf>
    <dxf>
      <numFmt numFmtId="164" formatCode="0.0000"/>
      <alignment horizontal="center" vertical="center" textRotation="0" wrapText="0" indent="0" justifyLastLine="0" shrinkToFit="0" readingOrder="0"/>
      <border diagonalUp="0" diagonalDown="0">
        <left/>
        <right/>
        <top style="thin">
          <color rgb="FFA6A6A6"/>
        </top>
        <bottom/>
        <vertical/>
        <horizontal/>
      </border>
    </dxf>
    <dxf>
      <numFmt numFmtId="164" formatCode="0.0000"/>
      <alignment horizontal="center" vertical="center" textRotation="0" wrapText="0" indent="0" justifyLastLine="0" shrinkToFit="0" readingOrder="0"/>
      <border diagonalUp="0" diagonalDown="0">
        <left/>
        <right/>
        <top style="thin">
          <color rgb="FFA6A6A6"/>
        </top>
        <bottom/>
        <vertical/>
        <horizontal/>
      </border>
    </dxf>
    <dxf>
      <numFmt numFmtId="164" formatCode="0.0000"/>
      <alignment horizontal="center" vertical="center" textRotation="0" wrapText="0" indent="0" justifyLastLine="0" shrinkToFit="0" readingOrder="0"/>
      <border diagonalUp="0" diagonalDown="0">
        <left/>
        <right/>
        <top style="thin">
          <color rgb="FFA6A6A6"/>
        </top>
        <bottom/>
        <vertical/>
        <horizontal/>
      </border>
    </dxf>
    <dxf>
      <alignment horizontal="general" vertical="center" textRotation="0" wrapText="1"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dxf>
    <dxf>
      <numFmt numFmtId="164" formatCode="0.0000"/>
      <fill>
        <patternFill patternType="darkUp">
          <fgColor theme="0"/>
          <bgColor rgb="FF93E3FF"/>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numFmt numFmtId="164" formatCode="0.0000"/>
      <fill>
        <patternFill patternType="darkUp">
          <fgColor theme="0"/>
          <bgColor rgb="FF93E3FF"/>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numFmt numFmtId="164" formatCode="0.0000"/>
      <fill>
        <patternFill patternType="darkUp">
          <fgColor theme="0"/>
          <bgColor rgb="FF93E3FF"/>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numFmt numFmtId="164" formatCode="0.0000"/>
      <fill>
        <patternFill patternType="darkUp">
          <fgColor theme="0"/>
          <bgColor rgb="FF93E3FF"/>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numFmt numFmtId="164" formatCode="0.0000"/>
      <fill>
        <patternFill patternType="darkUp">
          <fgColor theme="0"/>
          <bgColor rgb="FF93E3FF"/>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numFmt numFmtId="164" formatCode="0.0000"/>
      <fill>
        <patternFill patternType="darkUp">
          <fgColor theme="0"/>
          <bgColor rgb="FF93E3FF"/>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alignment horizontal="general" vertical="center" textRotation="0" wrapText="0" indent="0" justifyLastLine="0" shrinkToFit="0" readingOrder="0"/>
    </dxf>
    <dxf>
      <fill>
        <patternFill patternType="lightUp">
          <fgColor theme="4" tint="-0.499984740745262"/>
          <bgColor rgb="FF93E3FF"/>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ill>
        <patternFill patternType="gray125">
          <fgColor indexed="64"/>
          <bgColor theme="7" tint="0.79998168889431442"/>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ill>
        <patternFill patternType="gray125">
          <fgColor indexed="64"/>
          <bgColor theme="7" tint="0.79998168889431442"/>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ill>
        <patternFill patternType="gray125">
          <fgColor indexed="64"/>
          <bgColor theme="7" tint="0.79998168889431442"/>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ill>
        <patternFill patternType="gray125">
          <fgColor indexed="64"/>
          <bgColor theme="7" tint="0.79998168889431442"/>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ill>
        <patternFill patternType="gray125">
          <fgColor indexed="64"/>
          <bgColor theme="7" tint="0.79998168889431442"/>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ill>
        <patternFill patternType="gray125">
          <fgColor indexed="64"/>
          <bgColor theme="7" tint="0.79998168889431442"/>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alignment horizontal="general" vertical="center" textRotation="0" wrapText="1" indent="0" justifyLastLine="0" shrinkToFit="0" readingOrder="0"/>
    </dxf>
    <dxf>
      <border outline="0">
        <top style="medium">
          <color indexed="64"/>
        </top>
      </border>
    </dxf>
    <dxf>
      <fill>
        <patternFill patternType="gray125">
          <fgColor indexed="64"/>
          <bgColor theme="7"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color rgb="FFC00000"/>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65" formatCode="0.000"/>
      <alignment horizontal="center" vertical="center" textRotation="0" wrapText="0" indent="0" justifyLastLine="0" shrinkToFit="0" readingOrder="0"/>
      <border diagonalUp="0" diagonalDown="0">
        <left/>
        <right/>
        <top style="thin">
          <color rgb="FFA6A6A6"/>
        </top>
        <bottom style="medium">
          <color auto="1"/>
        </bottom>
        <vertical/>
        <horizontal/>
      </border>
    </dxf>
    <dxf>
      <numFmt numFmtId="165" formatCode="0.000"/>
      <alignment horizontal="center" vertical="center" textRotation="0" wrapText="0" indent="0" justifyLastLine="0" shrinkToFit="0" readingOrder="0"/>
      <border diagonalUp="0" diagonalDown="0">
        <left/>
        <right/>
        <top style="thin">
          <color rgb="FFA6A6A6"/>
        </top>
        <bottom style="medium">
          <color auto="1"/>
        </bottom>
        <vertical/>
        <horizontal/>
      </border>
    </dxf>
    <dxf>
      <numFmt numFmtId="165" formatCode="0.000"/>
      <alignment horizontal="center" vertical="center" textRotation="0" wrapText="0" indent="0" justifyLastLine="0" shrinkToFit="0" readingOrder="0"/>
      <border diagonalUp="0" diagonalDown="0">
        <left/>
        <right/>
        <top style="thin">
          <color rgb="FFA6A6A6"/>
        </top>
        <bottom style="medium">
          <color auto="1"/>
        </bottom>
        <vertical/>
        <horizontal/>
      </border>
    </dxf>
    <dxf>
      <numFmt numFmtId="165" formatCode="0.000"/>
      <alignment horizontal="center" vertical="center" textRotation="0" wrapText="0" indent="0" justifyLastLine="0" shrinkToFit="0" readingOrder="0"/>
      <border diagonalUp="0" diagonalDown="0">
        <left/>
        <right/>
        <top style="thin">
          <color rgb="FFA6A6A6"/>
        </top>
        <bottom style="medium">
          <color auto="1"/>
        </bottom>
        <vertical/>
        <horizontal/>
      </border>
    </dxf>
    <dxf>
      <numFmt numFmtId="165" formatCode="0.000"/>
      <alignment horizontal="center" vertical="center" textRotation="0" wrapText="0" indent="0" justifyLastLine="0" shrinkToFit="0" readingOrder="0"/>
      <border diagonalUp="0" diagonalDown="0">
        <left/>
        <right/>
        <top style="thin">
          <color rgb="FFA6A6A6"/>
        </top>
        <bottom style="medium">
          <color auto="1"/>
        </bottom>
        <vertical/>
        <horizontal/>
      </border>
    </dxf>
    <dxf>
      <numFmt numFmtId="165" formatCode="0.000"/>
      <alignment horizontal="center" vertical="center" textRotation="0" wrapText="0" indent="0" justifyLastLine="0" shrinkToFit="0" readingOrder="0"/>
      <border diagonalUp="0" diagonalDown="0">
        <left/>
        <right/>
        <top style="thin">
          <color rgb="FFA6A6A6"/>
        </top>
        <bottom style="medium">
          <color auto="1"/>
        </bottom>
        <vertical/>
        <horizontal/>
      </border>
    </dxf>
    <dxf>
      <numFmt numFmtId="165" formatCode="0.000"/>
      <alignment horizontal="center" vertical="center" textRotation="0" wrapText="0" indent="0" justifyLastLine="0" shrinkToFit="0" readingOrder="0"/>
      <border diagonalUp="0" diagonalDown="0">
        <left/>
        <right/>
        <top style="thin">
          <color rgb="FFA6A6A6"/>
        </top>
        <bottom style="medium">
          <color auto="1"/>
        </bottom>
        <vertical/>
        <horizontal/>
      </border>
    </dxf>
    <dxf>
      <alignment horizontal="general" vertical="center" textRotation="0" wrapText="0" indent="0" justifyLastLine="0" shrinkToFit="0" readingOrder="0"/>
      <border diagonalUp="0" diagonalDown="0">
        <left/>
        <right/>
        <top/>
        <bottom style="medium">
          <color indexed="64"/>
        </bottom>
        <vertical/>
        <horizontal/>
      </border>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alignment horizontal="general" vertical="center" textRotation="0" wrapText="0" indent="0" justifyLastLine="0" shrinkToFit="0" readingOrder="0"/>
    </dxf>
    <dxf>
      <border outline="0">
        <top style="medium">
          <color indexed="64"/>
        </top>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ill>
        <patternFill patternType="gray0625">
          <fgColor theme="0"/>
          <bgColor rgb="FFDCDADA"/>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ill>
        <patternFill patternType="gray0625">
          <fgColor theme="0"/>
          <bgColor rgb="FFDCDADA"/>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ill>
        <patternFill patternType="gray0625">
          <fgColor theme="0"/>
          <bgColor rgb="FFDCDADA"/>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ill>
        <patternFill patternType="gray0625">
          <fgColor theme="0"/>
          <bgColor rgb="FFDCDADA"/>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ill>
        <patternFill patternType="gray0625">
          <fgColor theme="0"/>
          <bgColor rgb="FFDCDADA"/>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ill>
        <patternFill patternType="gray0625">
          <fgColor theme="0"/>
          <bgColor rgb="FFDCDADA"/>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ill>
        <patternFill patternType="gray0625">
          <fgColor theme="0"/>
          <bgColor rgb="FFDCDADA"/>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alignment horizontal="general" vertical="center" textRotation="0" wrapText="0" indent="0" justifyLastLine="0" shrinkToFit="0" readingOrder="0"/>
    </dxf>
    <dxf>
      <border outline="0">
        <top style="medium">
          <color indexed="64"/>
        </top>
      </border>
    </dxf>
    <dxf>
      <fill>
        <patternFill patternType="gray0625">
          <fgColor indexed="64"/>
          <bgColor rgb="FFDCDADA"/>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dxf>
    <dxf>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numFmt numFmtId="165" formatCode="0.000"/>
      <alignment horizontal="center" vertical="center" textRotation="0" wrapText="0" indent="0" justifyLastLine="0" shrinkToFit="0" readingOrder="0"/>
      <border diagonalUp="0" diagonalDown="0">
        <left/>
        <right/>
        <top style="thin">
          <color rgb="FFA6A6A6"/>
        </top>
        <bottom/>
        <vertical/>
        <horizontal/>
      </border>
    </dxf>
    <dxf>
      <numFmt numFmtId="165" formatCode="0.000"/>
      <alignment horizontal="center" vertical="center" textRotation="0" wrapText="0" indent="0" justifyLastLine="0" shrinkToFit="0" readingOrder="0"/>
      <border diagonalUp="0" diagonalDown="0">
        <left/>
        <right/>
        <top style="thin">
          <color rgb="FFA6A6A6"/>
        </top>
        <bottom/>
        <vertical/>
        <horizontal/>
      </border>
    </dxf>
    <dxf>
      <numFmt numFmtId="165" formatCode="0.000"/>
      <alignment horizontal="center" vertical="center" textRotation="0" wrapText="0" indent="0" justifyLastLine="0" shrinkToFit="0" readingOrder="0"/>
      <border diagonalUp="0" diagonalDown="0">
        <left/>
        <right/>
        <top style="thin">
          <color rgb="FFA6A6A6"/>
        </top>
        <bottom/>
        <vertical/>
        <horizontal/>
      </border>
    </dxf>
    <dxf>
      <numFmt numFmtId="165" formatCode="0.000"/>
      <alignment horizontal="center" vertical="center" textRotation="0" wrapText="0" indent="0" justifyLastLine="0" shrinkToFit="0" readingOrder="0"/>
      <border diagonalUp="0" diagonalDown="0">
        <left/>
        <right/>
        <top style="thin">
          <color rgb="FFA6A6A6"/>
        </top>
        <bottom/>
        <vertical/>
        <horizontal/>
      </border>
    </dxf>
    <dxf>
      <numFmt numFmtId="165" formatCode="0.000"/>
      <alignment horizontal="center" vertical="center" textRotation="0" wrapText="0" indent="0" justifyLastLine="0" shrinkToFit="0" readingOrder="0"/>
      <border diagonalUp="0" diagonalDown="0">
        <left/>
        <right/>
        <top style="thin">
          <color rgb="FFA6A6A6"/>
        </top>
        <bottom/>
        <vertical/>
        <horizontal/>
      </border>
    </dxf>
    <dxf>
      <numFmt numFmtId="165" formatCode="0.000"/>
      <alignment horizontal="center" vertical="center" textRotation="0" wrapText="0" indent="0" justifyLastLine="0" shrinkToFit="0" readingOrder="0"/>
      <border diagonalUp="0" diagonalDown="0">
        <left/>
        <right/>
        <top style="thin">
          <color rgb="FFA6A6A6"/>
        </top>
        <bottom/>
        <vertical/>
        <horizontal/>
      </border>
    </dxf>
    <dxf>
      <numFmt numFmtId="165" formatCode="0.000"/>
      <alignment horizontal="center" vertical="center" textRotation="0" wrapText="0" indent="0" justifyLastLine="0" shrinkToFit="0" readingOrder="0"/>
      <border diagonalUp="0" diagonalDown="0">
        <left/>
        <right/>
        <top style="thin">
          <color rgb="FFA6A6A6"/>
        </top>
        <bottom/>
        <vertical/>
        <horizontal/>
      </border>
    </dxf>
    <dxf>
      <alignment horizontal="general" vertical="center" textRotation="0" wrapText="0" indent="0" justifyLastLine="0" shrinkToFit="0" readingOrder="0"/>
    </dxf>
    <dxf>
      <border outline="0">
        <top style="medium">
          <color indexed="64"/>
        </top>
      </border>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dxf>
    <dxf>
      <numFmt numFmtId="2" formatCode="0.00"/>
      <fill>
        <patternFill patternType="darkDown">
          <fgColor theme="0"/>
          <bgColor rgb="FFABDB77"/>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numFmt numFmtId="2" formatCode="0.00"/>
      <fill>
        <patternFill patternType="darkDown">
          <fgColor theme="0"/>
          <bgColor rgb="FFABDB77"/>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numFmt numFmtId="2" formatCode="0.00"/>
      <fill>
        <patternFill patternType="darkDown">
          <fgColor theme="0"/>
          <bgColor rgb="FFABDB77"/>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numFmt numFmtId="2" formatCode="0.00"/>
      <fill>
        <patternFill patternType="darkDown">
          <fgColor theme="0"/>
          <bgColor rgb="FFABDB77"/>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numFmt numFmtId="2" formatCode="0.00"/>
      <fill>
        <patternFill patternType="darkDown">
          <fgColor theme="0"/>
          <bgColor rgb="FFABDB77"/>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numFmt numFmtId="2" formatCode="0.00"/>
      <fill>
        <patternFill patternType="darkDown">
          <fgColor theme="0"/>
          <bgColor rgb="FFABDB77"/>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numFmt numFmtId="2" formatCode="0.00"/>
      <fill>
        <patternFill patternType="darkDown">
          <fgColor theme="0"/>
          <bgColor rgb="FFABDB77"/>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alignment horizontal="general" vertical="center" textRotation="0" wrapText="0" indent="0" justifyLastLine="0" shrinkToFit="0" readingOrder="0"/>
    </dxf>
    <dxf>
      <fill>
        <patternFill patternType="lightDown">
          <fgColor theme="9" tint="-0.499984740745262"/>
          <bgColor rgb="FFABDB77"/>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ill>
        <patternFill patternType="gray125">
          <fgColor indexed="64"/>
          <bgColor rgb="FFFFFFB9"/>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ill>
        <patternFill patternType="gray125">
          <fgColor indexed="64"/>
          <bgColor rgb="FFFFFFB9"/>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ill>
        <patternFill patternType="gray125">
          <fgColor indexed="64"/>
          <bgColor rgb="FFFFFFB9"/>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ill>
        <patternFill patternType="gray125">
          <fgColor indexed="64"/>
          <bgColor rgb="FFFFFFB9"/>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ill>
        <patternFill patternType="gray125">
          <fgColor indexed="64"/>
          <bgColor rgb="FFFFFFB9"/>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ill>
        <patternFill patternType="gray125">
          <fgColor indexed="64"/>
          <bgColor rgb="FFFFFFB9"/>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fill>
        <patternFill patternType="gray125">
          <fgColor indexed="64"/>
          <bgColor rgb="FFFFFFB9"/>
        </patternFill>
      </fill>
      <alignment horizontal="center" vertical="center" textRotation="0" wrapText="0" indent="0" justifyLastLine="0" shrinkToFit="0" readingOrder="0"/>
      <border diagonalUp="0" diagonalDown="0">
        <left/>
        <right/>
        <top style="thin">
          <color auto="1"/>
        </top>
        <bottom style="thin">
          <color auto="1"/>
        </bottom>
        <vertical/>
        <horizontal/>
      </border>
    </dxf>
    <dxf>
      <alignment horizontal="left" vertical="center" textRotation="0" wrapText="0" indent="0" justifyLastLine="0" shrinkToFit="0" readingOrder="0"/>
    </dxf>
    <dxf>
      <border outline="0">
        <top style="medium">
          <color indexed="64"/>
        </top>
      </border>
    </dxf>
    <dxf>
      <fill>
        <patternFill patternType="gray125">
          <fgColor indexed="64"/>
          <bgColor rgb="FFFFFFB9"/>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color rgb="FF9C0006"/>
      </font>
      <fill>
        <patternFill>
          <bgColor rgb="FFFFC7CE"/>
        </patternFill>
      </fill>
    </dxf>
    <dxf>
      <fill>
        <patternFill>
          <bgColor rgb="FFFFFFB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n">
          <color indexed="64"/>
        </left>
        <right style="thin">
          <color indexed="64"/>
        </right>
        <top style="thin">
          <color indexed="64"/>
        </top>
        <bottom style="thin">
          <color indexed="64"/>
        </bottom>
        <vertical/>
        <horizontal style="thin">
          <color indexed="64"/>
        </horizontal>
      </border>
    </dxf>
    <dxf>
      <border>
        <top style="thin">
          <color auto="1"/>
        </top>
      </border>
    </dxf>
    <dxf>
      <border diagonalUp="0" diagonalDown="0">
        <left/>
        <right/>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family val="2"/>
        <scheme val="minor"/>
      </font>
      <fill>
        <patternFill patternType="gray125">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bottom/>
        <vertical/>
        <horizontal/>
      </border>
    </dxf>
    <dxf>
      <border>
        <top style="thin">
          <color indexed="64"/>
        </top>
      </border>
    </dxf>
    <dxf>
      <border diagonalUp="0" diagonalDown="0">
        <left/>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alignment horizontal="general" vertical="top" textRotation="0" wrapText="1" indent="0" justifyLastLine="0" shrinkToFit="0" readingOrder="0"/>
    </dxf>
    <dxf>
      <alignment horizontal="general" vertical="top" textRotation="0" wrapText="0" indent="0" justifyLastLine="0" shrinkToFit="0" readingOrder="0"/>
    </dxf>
    <dxf>
      <font>
        <b/>
        <i/>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center" textRotation="0" indent="0" justifyLastLine="0" shrinkToFit="0" readingOrder="0"/>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dxf>
    <dxf>
      <border>
        <bottom style="thin">
          <color indexed="64"/>
        </bottom>
      </border>
    </dxf>
    <dxf>
      <font>
        <b/>
        <i/>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0" indent="0" justifyLastLine="0" shrinkToFit="0" readingOrder="0"/>
    </dxf>
  </dxfs>
  <tableStyles count="1" defaultTableStyle="TableStyleMedium2" defaultPivotStyle="PivotStyleLight16">
    <tableStyle name="Table Style 1" pivot="0" count="0" xr9:uid="{4CD53ED1-6158-4EFE-A965-D0CE05AE872C}"/>
  </tableStyles>
  <colors>
    <mruColors>
      <color rgb="FFFFE6B9"/>
      <color rgb="FFABDB77"/>
      <color rgb="FF93E3FF"/>
      <color rgb="FFDCDADA"/>
      <color rgb="FFFFC7CE"/>
      <color rgb="FFFFFFB9"/>
      <color rgb="FFA6A6A6"/>
      <color rgb="FFFFFF87"/>
      <color rgb="FF71DAFF"/>
      <color rgb="FFFFFA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Expected Total</a:t>
            </a:r>
            <a:r>
              <a:rPr lang="en-US" sz="1200" baseline="0"/>
              <a:t> Crash Frequency (KABC Plus PDO) with 95 Percent Confidence Intervals</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5630062582457737E-2"/>
          <c:y val="0.15435453028831286"/>
          <c:w val="0.88108382915630779"/>
          <c:h val="0.58050203925770727"/>
        </c:manualLayout>
      </c:layout>
      <c:lineChart>
        <c:grouping val="standard"/>
        <c:varyColors val="0"/>
        <c:ser>
          <c:idx val="0"/>
          <c:order val="0"/>
          <c:tx>
            <c:v>Crash Frequency</c:v>
          </c:tx>
          <c:spPr>
            <a:ln w="28575" cap="rnd">
              <a:noFill/>
              <a:round/>
            </a:ln>
            <a:effectLst/>
          </c:spPr>
          <c:marker>
            <c:symbol val="circle"/>
            <c:size val="5"/>
            <c:spPr>
              <a:solidFill>
                <a:schemeClr val="tx1"/>
              </a:solidFill>
              <a:ln w="12700" cap="rnd">
                <a:solidFill>
                  <a:schemeClr val="tx1"/>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cust"/>
            <c:noEndCap val="0"/>
            <c:plus>
              <c:numRef>
                <c:f>Charts!$B$7:$H$7</c:f>
                <c:numCache>
                  <c:formatCode>General</c:formatCode>
                  <c:ptCount val="7"/>
                  <c:pt idx="0">
                    <c:v>22.978387933425061</c:v>
                  </c:pt>
                  <c:pt idx="1">
                    <c:v>18.478975365190415</c:v>
                  </c:pt>
                  <c:pt idx="2">
                    <c:v>19.058566397251635</c:v>
                  </c:pt>
                  <c:pt idx="3">
                    <c:v>24.507775296380117</c:v>
                  </c:pt>
                  <c:pt idx="4">
                    <c:v>20.788910980173817</c:v>
                  </c:pt>
                  <c:pt idx="5">
                    <c:v>19.230607736991303</c:v>
                  </c:pt>
                  <c:pt idx="6">
                    <c:v>19.746725905621005</c:v>
                  </c:pt>
                </c:numCache>
              </c:numRef>
            </c:plus>
            <c:minus>
              <c:numRef>
                <c:f>Charts!$B$8:$H$8</c:f>
                <c:numCache>
                  <c:formatCode>General</c:formatCode>
                  <c:ptCount val="7"/>
                  <c:pt idx="0">
                    <c:v>22.978387933425058</c:v>
                  </c:pt>
                  <c:pt idx="1">
                    <c:v>18.478975365190411</c:v>
                  </c:pt>
                  <c:pt idx="2">
                    <c:v>19.058566397251639</c:v>
                  </c:pt>
                  <c:pt idx="3">
                    <c:v>24.507775296380117</c:v>
                  </c:pt>
                  <c:pt idx="4">
                    <c:v>20.788910980173817</c:v>
                  </c:pt>
                  <c:pt idx="5">
                    <c:v>19.230607736991303</c:v>
                  </c:pt>
                  <c:pt idx="6">
                    <c:v>19.746725905621009</c:v>
                  </c:pt>
                </c:numCache>
              </c:numRef>
            </c:minus>
            <c:spPr>
              <a:noFill/>
              <a:ln w="9525" cap="flat" cmpd="sng" algn="ctr">
                <a:solidFill>
                  <a:schemeClr val="tx1">
                    <a:lumMod val="65000"/>
                    <a:lumOff val="35000"/>
                  </a:schemeClr>
                </a:solidFill>
                <a:round/>
              </a:ln>
              <a:effectLst/>
            </c:spPr>
          </c:errBars>
          <c:cat>
            <c:strRef>
              <c:f>Charts!$B$2:$H$2</c:f>
              <c:strCache>
                <c:ptCount val="7"/>
                <c:pt idx="0">
                  <c:v>Diamond/ Compressed</c:v>
                </c:pt>
                <c:pt idx="1">
                  <c:v>Roundabout Diamond</c:v>
                </c:pt>
                <c:pt idx="2">
                  <c:v>DDI</c:v>
                </c:pt>
                <c:pt idx="3">
                  <c:v>Parclo B, AB</c:v>
                </c:pt>
                <c:pt idx="4">
                  <c:v>Parclo A</c:v>
                </c:pt>
                <c:pt idx="5">
                  <c:v>SPDI</c:v>
                </c:pt>
                <c:pt idx="6">
                  <c:v>TDI</c:v>
                </c:pt>
              </c:strCache>
            </c:strRef>
          </c:cat>
          <c:val>
            <c:numRef>
              <c:f>PDO!$B$33:$H$33</c:f>
              <c:numCache>
                <c:formatCode>0.00</c:formatCode>
                <c:ptCount val="7"/>
                <c:pt idx="0">
                  <c:v>26.206546906954678</c:v>
                </c:pt>
                <c:pt idx="1">
                  <c:v>20.467480674447749</c:v>
                </c:pt>
                <c:pt idx="2">
                  <c:v>21.692181904151003</c:v>
                </c:pt>
                <c:pt idx="3">
                  <c:v>28.528831312806645</c:v>
                </c:pt>
                <c:pt idx="4">
                  <c:v>24.231416919661989</c:v>
                </c:pt>
                <c:pt idx="5">
                  <c:v>21.144284155069471</c:v>
                </c:pt>
                <c:pt idx="6">
                  <c:v>21.152229430530127</c:v>
                </c:pt>
              </c:numCache>
            </c:numRef>
          </c:val>
          <c:smooth val="0"/>
          <c:extLst>
            <c:ext xmlns:c16="http://schemas.microsoft.com/office/drawing/2014/chart" uri="{C3380CC4-5D6E-409C-BE32-E72D297353CC}">
              <c16:uniqueId val="{00000007-091E-4B9A-9B6F-7FD104DF1F71}"/>
            </c:ext>
          </c:extLst>
        </c:ser>
        <c:dLbls>
          <c:showLegendKey val="0"/>
          <c:showVal val="0"/>
          <c:showCatName val="0"/>
          <c:showSerName val="0"/>
          <c:showPercent val="0"/>
          <c:showBubbleSize val="0"/>
        </c:dLbls>
        <c:marker val="1"/>
        <c:smooth val="0"/>
        <c:axId val="427891568"/>
        <c:axId val="427888288"/>
      </c:lineChart>
      <c:catAx>
        <c:axId val="427891568"/>
        <c:scaling>
          <c:orientation val="minMax"/>
        </c:scaling>
        <c:delete val="0"/>
        <c:axPos val="b"/>
        <c:numFmt formatCode="@" sourceLinked="0"/>
        <c:majorTickMark val="out"/>
        <c:minorTickMark val="none"/>
        <c:tickLblPos val="nextTo"/>
        <c:spPr>
          <a:noFill/>
          <a:ln w="9525" cap="flat" cmpd="sng" algn="ctr">
            <a:noFill/>
            <a:round/>
          </a:ln>
          <a:effectLst/>
        </c:spPr>
        <c:txPr>
          <a:bodyPr rot="-2700000" spcFirstLastPara="1" vertOverflow="ellipsis" wrap="square" anchor="t" anchorCtr="0"/>
          <a:lstStyle/>
          <a:p>
            <a:pPr>
              <a:defRPr sz="700" b="0" i="0" u="none" strike="noStrike" kern="1200" baseline="0">
                <a:solidFill>
                  <a:schemeClr val="tx1">
                    <a:lumMod val="65000"/>
                    <a:lumOff val="35000"/>
                  </a:schemeClr>
                </a:solidFill>
                <a:latin typeface="+mn-lt"/>
                <a:ea typeface="+mn-ea"/>
                <a:cs typeface="+mn-cs"/>
              </a:defRPr>
            </a:pPr>
            <a:endParaRPr lang="en-US"/>
          </a:p>
        </c:txPr>
        <c:crossAx val="427888288"/>
        <c:crosses val="autoZero"/>
        <c:auto val="1"/>
        <c:lblAlgn val="ctr"/>
        <c:lblOffset val="100"/>
        <c:tickMarkSkip val="1"/>
        <c:noMultiLvlLbl val="0"/>
      </c:catAx>
      <c:valAx>
        <c:axId val="4278882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Crashes</a:t>
                </a:r>
              </a:p>
            </c:rich>
          </c:tx>
          <c:layout>
            <c:manualLayout>
              <c:xMode val="edge"/>
              <c:yMode val="edge"/>
              <c:x val="1.6935351462715974E-2"/>
              <c:y val="0.25118442468830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891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0" i="0" baseline="0">
                <a:effectLst/>
              </a:rPr>
              <a:t>Expected Total Crash Frequency (KABC) with 95 Percent Confidence Intervals</a:t>
            </a:r>
            <a:endParaRPr lang="en-US" sz="1200">
              <a:effectLst/>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5490121048714918E-2"/>
          <c:y val="0.15166667487440405"/>
          <c:w val="0.88125784672866214"/>
          <c:h val="0.59303036464163028"/>
        </c:manualLayout>
      </c:layout>
      <c:lineChart>
        <c:grouping val="standard"/>
        <c:varyColors val="0"/>
        <c:ser>
          <c:idx val="0"/>
          <c:order val="0"/>
          <c:tx>
            <c:v>Crash Frequency</c:v>
          </c:tx>
          <c:spPr>
            <a:ln w="28575" cap="rnd">
              <a:noFill/>
              <a:round/>
            </a:ln>
            <a:effectLst/>
          </c:spPr>
          <c:marker>
            <c:symbol val="circle"/>
            <c:size val="5"/>
            <c:spPr>
              <a:solidFill>
                <a:schemeClr val="tx1"/>
              </a:solidFill>
              <a:ln w="9525">
                <a:solidFill>
                  <a:schemeClr val="tx1"/>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cust"/>
            <c:noEndCap val="0"/>
            <c:plus>
              <c:numRef>
                <c:f>Charts!$B$6:$H$6</c:f>
                <c:numCache>
                  <c:formatCode>General</c:formatCode>
                  <c:ptCount val="7"/>
                  <c:pt idx="0">
                    <c:v>7.9874416959014711</c:v>
                  </c:pt>
                  <c:pt idx="1">
                    <c:v>6.4677821834151352</c:v>
                  </c:pt>
                  <c:pt idx="2">
                    <c:v>7.4758094841724612</c:v>
                  </c:pt>
                  <c:pt idx="3">
                    <c:v>9.0863571334759676</c:v>
                  </c:pt>
                  <c:pt idx="4">
                    <c:v>8.6327917134544006</c:v>
                  </c:pt>
                  <c:pt idx="5">
                    <c:v>6.2803389260150899</c:v>
                  </c:pt>
                  <c:pt idx="6">
                    <c:v>5.4826333665540723</c:v>
                  </c:pt>
                </c:numCache>
              </c:numRef>
            </c:plus>
            <c:minus>
              <c:numRef>
                <c:f>Charts!$B$5:$H$5</c:f>
                <c:numCache>
                  <c:formatCode>General</c:formatCode>
                  <c:ptCount val="7"/>
                  <c:pt idx="0">
                    <c:v>6.4698054542482977</c:v>
                  </c:pt>
                  <c:pt idx="1">
                    <c:v>4.9514776102903237</c:v>
                  </c:pt>
                  <c:pt idx="2">
                    <c:v>5.9561603635505387</c:v>
                  </c:pt>
                  <c:pt idx="3">
                    <c:v>7.5791877670159842</c:v>
                  </c:pt>
                  <c:pt idx="4">
                    <c:v>7.1204152059467827</c:v>
                  </c:pt>
                  <c:pt idx="5">
                    <c:v>4.7659922322277604</c:v>
                  </c:pt>
                  <c:pt idx="6">
                    <c:v>3.9828333184131419</c:v>
                  </c:pt>
                </c:numCache>
              </c:numRef>
            </c:minus>
            <c:spPr>
              <a:noFill/>
              <a:ln w="9525" cap="flat" cmpd="sng" algn="ctr">
                <a:solidFill>
                  <a:schemeClr val="tx1">
                    <a:lumMod val="65000"/>
                    <a:lumOff val="35000"/>
                  </a:schemeClr>
                </a:solidFill>
                <a:round/>
              </a:ln>
              <a:effectLst/>
            </c:spPr>
          </c:errBars>
          <c:cat>
            <c:strRef>
              <c:f>Charts!$B$2:$H$2</c:f>
              <c:strCache>
                <c:ptCount val="7"/>
                <c:pt idx="0">
                  <c:v>Diamond/ Compressed</c:v>
                </c:pt>
                <c:pt idx="1">
                  <c:v>Roundabout Diamond</c:v>
                </c:pt>
                <c:pt idx="2">
                  <c:v>DDI</c:v>
                </c:pt>
                <c:pt idx="3">
                  <c:v>Parclo B, AB</c:v>
                </c:pt>
                <c:pt idx="4">
                  <c:v>Parclo A</c:v>
                </c:pt>
                <c:pt idx="5">
                  <c:v>SPDI</c:v>
                </c:pt>
                <c:pt idx="6">
                  <c:v>TDI</c:v>
                </c:pt>
              </c:strCache>
            </c:strRef>
          </c:cat>
          <c:val>
            <c:numRef>
              <c:f>PDO!$B$30:$H$30</c:f>
              <c:numCache>
                <c:formatCode>0.00</c:formatCode>
                <c:ptCount val="7"/>
                <c:pt idx="0">
                  <c:v>6.4698054542482977</c:v>
                </c:pt>
                <c:pt idx="1">
                  <c:v>4.9514776102903237</c:v>
                </c:pt>
                <c:pt idx="2">
                  <c:v>5.9561603635505387</c:v>
                </c:pt>
                <c:pt idx="3">
                  <c:v>7.5791877670159842</c:v>
                </c:pt>
                <c:pt idx="4">
                  <c:v>7.1204152059467827</c:v>
                </c:pt>
                <c:pt idx="5">
                  <c:v>4.7659922322277604</c:v>
                </c:pt>
                <c:pt idx="6">
                  <c:v>3.9828333184131419</c:v>
                </c:pt>
              </c:numCache>
            </c:numRef>
          </c:val>
          <c:smooth val="0"/>
          <c:extLst>
            <c:ext xmlns:c16="http://schemas.microsoft.com/office/drawing/2014/chart" uri="{C3380CC4-5D6E-409C-BE32-E72D297353CC}">
              <c16:uniqueId val="{00000000-420D-4590-9E4E-B00974AD94FB}"/>
            </c:ext>
          </c:extLst>
        </c:ser>
        <c:dLbls>
          <c:showLegendKey val="0"/>
          <c:showVal val="0"/>
          <c:showCatName val="0"/>
          <c:showSerName val="0"/>
          <c:showPercent val="0"/>
          <c:showBubbleSize val="0"/>
        </c:dLbls>
        <c:marker val="1"/>
        <c:smooth val="0"/>
        <c:axId val="937253360"/>
        <c:axId val="937252376"/>
      </c:lineChart>
      <c:catAx>
        <c:axId val="937253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b"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937252376"/>
        <c:crosses val="autoZero"/>
        <c:auto val="1"/>
        <c:lblAlgn val="ctr"/>
        <c:lblOffset val="100"/>
        <c:noMultiLvlLbl val="0"/>
      </c:catAx>
      <c:valAx>
        <c:axId val="93725237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Crashes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72533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0" i="0" baseline="0">
                <a:effectLst/>
              </a:rPr>
              <a:t>Expected Total Crash Frequency (PDO) with 95 Percent Confidence Intervals</a:t>
            </a:r>
            <a:endParaRPr lang="en-US" sz="1200">
              <a:effectLst/>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595259371400037E-2"/>
          <c:y val="0.14870124661193543"/>
          <c:w val="0.88226558352664275"/>
          <c:h val="0.57964044467750553"/>
        </c:manualLayout>
      </c:layout>
      <c:lineChart>
        <c:grouping val="standard"/>
        <c:varyColors val="0"/>
        <c:ser>
          <c:idx val="0"/>
          <c:order val="0"/>
          <c:tx>
            <c:v>Crash Frequency</c:v>
          </c:tx>
          <c:spPr>
            <a:ln w="28575" cap="rnd">
              <a:noFill/>
              <a:round/>
            </a:ln>
            <a:effectLst/>
          </c:spPr>
          <c:marker>
            <c:symbol val="circle"/>
            <c:size val="5"/>
            <c:spPr>
              <a:solidFill>
                <a:schemeClr val="tx1"/>
              </a:solidFill>
              <a:ln w="9525">
                <a:solidFill>
                  <a:schemeClr val="tx1"/>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cust"/>
            <c:noEndCap val="0"/>
            <c:plus>
              <c:numRef>
                <c:f>Charts!$B$4:$H$4</c:f>
                <c:numCache>
                  <c:formatCode>General</c:formatCode>
                  <c:ptCount val="7"/>
                  <c:pt idx="0">
                    <c:v>21.545465582659123</c:v>
                  </c:pt>
                  <c:pt idx="1">
                    <c:v>17.310122015029584</c:v>
                  </c:pt>
                  <c:pt idx="2">
                    <c:v>17.531150152651318</c:v>
                  </c:pt>
                  <c:pt idx="3">
                    <c:v>22.761132749070068</c:v>
                  </c:pt>
                  <c:pt idx="4">
                    <c:v>18.911735165597694</c:v>
                  </c:pt>
                  <c:pt idx="5">
                    <c:v>18.176182682521912</c:v>
                  </c:pt>
                  <c:pt idx="6">
                    <c:v>18.970343048022926</c:v>
                  </c:pt>
                </c:numCache>
              </c:numRef>
            </c:plus>
            <c:minus>
              <c:numRef>
                <c:f>Charts!$B$3:$H$3</c:f>
                <c:numCache>
                  <c:formatCode>General</c:formatCode>
                  <c:ptCount val="7"/>
                  <c:pt idx="0">
                    <c:v>19.736741452706379</c:v>
                  </c:pt>
                  <c:pt idx="1">
                    <c:v>15.516003064157426</c:v>
                  </c:pt>
                  <c:pt idx="2">
                    <c:v>15.736021540600465</c:v>
                  </c:pt>
                  <c:pt idx="3">
                    <c:v>20.949643545790661</c:v>
                  </c:pt>
                  <c:pt idx="4">
                    <c:v>17.111001713715208</c:v>
                  </c:pt>
                  <c:pt idx="5">
                    <c:v>16.378291922841711</c:v>
                  </c:pt>
                  <c:pt idx="6">
                    <c:v>17.169396112116985</c:v>
                  </c:pt>
                </c:numCache>
              </c:numRef>
            </c:minus>
            <c:spPr>
              <a:noFill/>
              <a:ln w="9525" cap="flat" cmpd="sng" algn="ctr">
                <a:solidFill>
                  <a:schemeClr val="tx1">
                    <a:lumMod val="65000"/>
                    <a:lumOff val="35000"/>
                  </a:schemeClr>
                </a:solidFill>
                <a:round/>
              </a:ln>
              <a:effectLst/>
            </c:spPr>
          </c:errBars>
          <c:cat>
            <c:strRef>
              <c:f>Charts!$B$2:$H$2</c:f>
              <c:strCache>
                <c:ptCount val="7"/>
                <c:pt idx="0">
                  <c:v>Diamond/ Compressed</c:v>
                </c:pt>
                <c:pt idx="1">
                  <c:v>Roundabout Diamond</c:v>
                </c:pt>
                <c:pt idx="2">
                  <c:v>DDI</c:v>
                </c:pt>
                <c:pt idx="3">
                  <c:v>Parclo B, AB</c:v>
                </c:pt>
                <c:pt idx="4">
                  <c:v>Parclo A</c:v>
                </c:pt>
                <c:pt idx="5">
                  <c:v>SPDI</c:v>
                </c:pt>
                <c:pt idx="6">
                  <c:v>TDI</c:v>
                </c:pt>
              </c:strCache>
            </c:strRef>
          </c:cat>
          <c:val>
            <c:numRef>
              <c:f>PDO!$B$27:$H$27</c:f>
              <c:numCache>
                <c:formatCode>0.00</c:formatCode>
                <c:ptCount val="7"/>
                <c:pt idx="0">
                  <c:v>19.736741452706379</c:v>
                </c:pt>
                <c:pt idx="1">
                  <c:v>15.516003064157426</c:v>
                </c:pt>
                <c:pt idx="2">
                  <c:v>15.736021540600465</c:v>
                </c:pt>
                <c:pt idx="3">
                  <c:v>20.949643545790661</c:v>
                </c:pt>
                <c:pt idx="4">
                  <c:v>17.111001713715208</c:v>
                </c:pt>
                <c:pt idx="5">
                  <c:v>16.378291922841711</c:v>
                </c:pt>
                <c:pt idx="6">
                  <c:v>17.169396112116985</c:v>
                </c:pt>
              </c:numCache>
            </c:numRef>
          </c:val>
          <c:smooth val="0"/>
          <c:extLst>
            <c:ext xmlns:c16="http://schemas.microsoft.com/office/drawing/2014/chart" uri="{C3380CC4-5D6E-409C-BE32-E72D297353CC}">
              <c16:uniqueId val="{00000000-9049-4B16-9227-82F4B2D99578}"/>
            </c:ext>
          </c:extLst>
        </c:ser>
        <c:dLbls>
          <c:showLegendKey val="0"/>
          <c:showVal val="0"/>
          <c:showCatName val="0"/>
          <c:showSerName val="0"/>
          <c:showPercent val="0"/>
          <c:showBubbleSize val="0"/>
        </c:dLbls>
        <c:marker val="1"/>
        <c:smooth val="0"/>
        <c:axId val="716060824"/>
        <c:axId val="728841584"/>
      </c:lineChart>
      <c:catAx>
        <c:axId val="716060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841584"/>
        <c:crosses val="autoZero"/>
        <c:auto val="1"/>
        <c:lblAlgn val="ctr"/>
        <c:lblOffset val="100"/>
        <c:noMultiLvlLbl val="0"/>
      </c:catAx>
      <c:valAx>
        <c:axId val="728841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a:t>
                </a:r>
                <a:r>
                  <a:rPr lang="en-US" baseline="0"/>
                  <a:t> of Crashes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6060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1905</xdr:colOff>
      <xdr:row>2</xdr:row>
      <xdr:rowOff>47624</xdr:rowOff>
    </xdr:from>
    <xdr:to>
      <xdr:col>2</xdr:col>
      <xdr:colOff>22860</xdr:colOff>
      <xdr:row>14</xdr:row>
      <xdr:rowOff>28575</xdr:rowOff>
    </xdr:to>
    <xdr:sp macro="" textlink="">
      <xdr:nvSpPr>
        <xdr:cNvPr id="2" name="Rectangle: Rounded Corners 1" descr="Outline highlights the Diamond/ Compressed column of the User Input table. ">
          <a:extLst>
            <a:ext uri="{FF2B5EF4-FFF2-40B4-BE49-F238E27FC236}">
              <a16:creationId xmlns:a16="http://schemas.microsoft.com/office/drawing/2014/main" id="{944A637E-F4CF-4300-805B-646AE382E96A}"/>
            </a:ext>
          </a:extLst>
        </xdr:cNvPr>
        <xdr:cNvSpPr/>
      </xdr:nvSpPr>
      <xdr:spPr>
        <a:xfrm>
          <a:off x="3383280" y="581024"/>
          <a:ext cx="868680" cy="4714876"/>
        </a:xfrm>
        <a:prstGeom prst="roundRect">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0</xdr:col>
      <xdr:colOff>130212</xdr:colOff>
      <xdr:row>14</xdr:row>
      <xdr:rowOff>104823</xdr:rowOff>
    </xdr:from>
    <xdr:ext cx="2765388" cy="571646"/>
    <xdr:sp macro="" textlink="">
      <xdr:nvSpPr>
        <xdr:cNvPr id="3" name="TextBox 2" descr="Callout box with arrow pointing to Diamond/ Compressed column of the User Input table. Callout content: This is the base condition. Analysts must fill out the entire column even if this interchange type isn't under consideration.">
          <a:extLst>
            <a:ext uri="{FF2B5EF4-FFF2-40B4-BE49-F238E27FC236}">
              <a16:creationId xmlns:a16="http://schemas.microsoft.com/office/drawing/2014/main" id="{DCC758D5-09DF-4292-8353-A592FC929EEF}"/>
            </a:ext>
          </a:extLst>
        </xdr:cNvPr>
        <xdr:cNvSpPr txBox="1"/>
      </xdr:nvSpPr>
      <xdr:spPr>
        <a:xfrm>
          <a:off x="130212" y="5372148"/>
          <a:ext cx="2765388" cy="571646"/>
        </a:xfrm>
        <a:prstGeom prst="round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spAutoFit/>
        </a:bodyPr>
        <a:lstStyle/>
        <a:p>
          <a:pPr algn="ctr"/>
          <a:r>
            <a:rPr lang="en-US" sz="1100">
              <a:solidFill>
                <a:schemeClr val="dk1"/>
              </a:solidFill>
              <a:effectLst/>
              <a:latin typeface="+mn-lt"/>
              <a:ea typeface="+mn-ea"/>
              <a:cs typeface="+mn-cs"/>
            </a:rPr>
            <a:t>This is the base condition. Analysts</a:t>
          </a:r>
          <a:r>
            <a:rPr lang="en-US" sz="1100" baseline="0">
              <a:solidFill>
                <a:schemeClr val="dk1"/>
              </a:solidFill>
              <a:effectLst/>
              <a:latin typeface="+mn-lt"/>
              <a:ea typeface="+mn-ea"/>
              <a:cs typeface="+mn-cs"/>
            </a:rPr>
            <a:t> must fill out the entire column even if this interchange type is not under consideration.</a:t>
          </a:r>
          <a:endParaRPr lang="en-US" sz="1100"/>
        </a:p>
      </xdr:txBody>
    </xdr:sp>
    <xdr:clientData/>
  </xdr:oneCellAnchor>
  <xdr:twoCellAnchor>
    <xdr:from>
      <xdr:col>0</xdr:col>
      <xdr:colOff>2895600</xdr:colOff>
      <xdr:row>14</xdr:row>
      <xdr:rowOff>9525</xdr:rowOff>
    </xdr:from>
    <xdr:to>
      <xdr:col>1</xdr:col>
      <xdr:colOff>66675</xdr:colOff>
      <xdr:row>14</xdr:row>
      <xdr:rowOff>390646</xdr:rowOff>
    </xdr:to>
    <xdr:cxnSp macro="">
      <xdr:nvCxnSpPr>
        <xdr:cNvPr id="5" name="Connector: Curved 4">
          <a:extLst>
            <a:ext uri="{FF2B5EF4-FFF2-40B4-BE49-F238E27FC236}">
              <a16:creationId xmlns:a16="http://schemas.microsoft.com/office/drawing/2014/main" id="{8CC77EA5-2856-4482-9EA4-9870FDBEA014}"/>
            </a:ext>
            <a:ext uri="{C183D7F6-B498-43B3-948B-1728B52AA6E4}">
              <adec:decorative xmlns:adec="http://schemas.microsoft.com/office/drawing/2017/decorative" val="1"/>
            </a:ext>
          </a:extLst>
        </xdr:cNvPr>
        <xdr:cNvCxnSpPr>
          <a:stCxn id="3" idx="3"/>
        </xdr:cNvCxnSpPr>
      </xdr:nvCxnSpPr>
      <xdr:spPr>
        <a:xfrm flipV="1">
          <a:off x="2895600" y="5276850"/>
          <a:ext cx="552450" cy="381121"/>
        </a:xfrm>
        <a:prstGeom prst="curvedConnector3">
          <a:avLst>
            <a:gd name="adj1" fmla="val 50000"/>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xdr:colOff>
      <xdr:row>2</xdr:row>
      <xdr:rowOff>133350</xdr:rowOff>
    </xdr:from>
    <xdr:to>
      <xdr:col>2</xdr:col>
      <xdr:colOff>19050</xdr:colOff>
      <xdr:row>12</xdr:row>
      <xdr:rowOff>30480</xdr:rowOff>
    </xdr:to>
    <xdr:sp macro="" textlink="">
      <xdr:nvSpPr>
        <xdr:cNvPr id="2" name="Rectangle: Rounded Corners 1" descr="Box highlights the Diamond/Compressed column. ">
          <a:extLst>
            <a:ext uri="{FF2B5EF4-FFF2-40B4-BE49-F238E27FC236}">
              <a16:creationId xmlns:a16="http://schemas.microsoft.com/office/drawing/2014/main" id="{7BEBA61C-48D0-41A8-A09F-0CB0C1DC0DC2}"/>
            </a:ext>
          </a:extLst>
        </xdr:cNvPr>
        <xdr:cNvSpPr/>
      </xdr:nvSpPr>
      <xdr:spPr>
        <a:xfrm>
          <a:off x="3383280" y="676275"/>
          <a:ext cx="1731645" cy="2449830"/>
        </a:xfrm>
        <a:prstGeom prst="roundRect">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0</xdr:col>
      <xdr:colOff>981075</xdr:colOff>
      <xdr:row>14</xdr:row>
      <xdr:rowOff>76224</xdr:rowOff>
    </xdr:from>
    <xdr:ext cx="2244090" cy="762194"/>
    <xdr:sp macro="" textlink="">
      <xdr:nvSpPr>
        <xdr:cNvPr id="3" name="TextBox 2" descr="Callout box with arrow pointing to first column in the table. Content state, &quot;This is the base condition. Analysts must fill out the entire column even if this interchange type isn't under consideration.&quot; ">
          <a:extLst>
            <a:ext uri="{FF2B5EF4-FFF2-40B4-BE49-F238E27FC236}">
              <a16:creationId xmlns:a16="http://schemas.microsoft.com/office/drawing/2014/main" id="{23611A7A-9BA0-4024-B616-78392862B897}"/>
            </a:ext>
          </a:extLst>
        </xdr:cNvPr>
        <xdr:cNvSpPr txBox="1"/>
      </xdr:nvSpPr>
      <xdr:spPr>
        <a:xfrm>
          <a:off x="981075" y="5924574"/>
          <a:ext cx="2244090" cy="762194"/>
        </a:xfrm>
        <a:prstGeom prst="round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spAutoFit/>
        </a:bodyPr>
        <a:lstStyle/>
        <a:p>
          <a:pPr algn="ctr"/>
          <a:r>
            <a:rPr lang="en-US" sz="1100"/>
            <a:t>This is the base condition. Analysts</a:t>
          </a:r>
          <a:r>
            <a:rPr lang="en-US" sz="1100" baseline="0"/>
            <a:t> must fill out the entire column even if this interchange type isn't under consideration.</a:t>
          </a:r>
          <a:endParaRPr lang="en-US" sz="1100"/>
        </a:p>
      </xdr:txBody>
    </xdr:sp>
    <xdr:clientData/>
  </xdr:oneCellAnchor>
  <xdr:twoCellAnchor>
    <xdr:from>
      <xdr:col>0</xdr:col>
      <xdr:colOff>3225165</xdr:colOff>
      <xdr:row>12</xdr:row>
      <xdr:rowOff>30480</xdr:rowOff>
    </xdr:from>
    <xdr:to>
      <xdr:col>1</xdr:col>
      <xdr:colOff>534353</xdr:colOff>
      <xdr:row>14</xdr:row>
      <xdr:rowOff>457321</xdr:rowOff>
    </xdr:to>
    <xdr:cxnSp macro="">
      <xdr:nvCxnSpPr>
        <xdr:cNvPr id="4" name="Connector: Curved 3">
          <a:extLst>
            <a:ext uri="{FF2B5EF4-FFF2-40B4-BE49-F238E27FC236}">
              <a16:creationId xmlns:a16="http://schemas.microsoft.com/office/drawing/2014/main" id="{E3830CB3-A1A7-44A8-A54F-A7F5B231041C}"/>
            </a:ext>
            <a:ext uri="{C183D7F6-B498-43B3-948B-1728B52AA6E4}">
              <adec:decorative xmlns:adec="http://schemas.microsoft.com/office/drawing/2017/decorative" val="1"/>
            </a:ext>
          </a:extLst>
        </xdr:cNvPr>
        <xdr:cNvCxnSpPr>
          <a:stCxn id="3" idx="3"/>
          <a:endCxn id="2" idx="2"/>
        </xdr:cNvCxnSpPr>
      </xdr:nvCxnSpPr>
      <xdr:spPr>
        <a:xfrm flipV="1">
          <a:off x="3225165" y="5116830"/>
          <a:ext cx="681038" cy="1188841"/>
        </a:xfrm>
        <a:prstGeom prst="curvedConnector2">
          <a:avLst/>
        </a:prstGeom>
        <a:ln w="952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31068</xdr:colOff>
      <xdr:row>9</xdr:row>
      <xdr:rowOff>5128</xdr:rowOff>
    </xdr:from>
    <xdr:to>
      <xdr:col>6</xdr:col>
      <xdr:colOff>942975</xdr:colOff>
      <xdr:row>24</xdr:row>
      <xdr:rowOff>16852</xdr:rowOff>
    </xdr:to>
    <xdr:graphicFrame macro="">
      <xdr:nvGraphicFramePr>
        <xdr:cNvPr id="3" name="Chart 2" descr="Scatterplot of expected total crash frequency (KABC plus property damage only (PDO)) with 95 percent confidence intervals for diamond/compressed, roundabout diamond, diverging diamond (DDI), partial cloverleaf (parclo) B and AB, parclo A, single-point diamond (SPDI), and tight diamond (TDI). The number of crashes range from 0 to 60. The following points are plotted: diamond/compressed: 26.2; roundabout diamond: 20.5; DDI: 21.7; parclo B/AB: 28.5; parclo A: 24.2; SPDI: 21.1; TDI: 21.2. The confidence interval ranges are roughly similar, showing a spread of approximately 38 minimum and 50 maximum.   ">
          <a:extLst>
            <a:ext uri="{FF2B5EF4-FFF2-40B4-BE49-F238E27FC236}">
              <a16:creationId xmlns:a16="http://schemas.microsoft.com/office/drawing/2014/main" id="{E5DA2A93-A8D2-49D9-86BC-6075BA7FA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31067</xdr:colOff>
      <xdr:row>24</xdr:row>
      <xdr:rowOff>104774</xdr:rowOff>
    </xdr:from>
    <xdr:to>
      <xdr:col>6</xdr:col>
      <xdr:colOff>949633</xdr:colOff>
      <xdr:row>40</xdr:row>
      <xdr:rowOff>40297</xdr:rowOff>
    </xdr:to>
    <xdr:graphicFrame macro="">
      <xdr:nvGraphicFramePr>
        <xdr:cNvPr id="5" name="Chart 4" descr="Scatterplot of expected total crash frequency (KABC) with 95 percent confidence intervals for diamond/compressed, roundabout diamond, diverging diamond (DDI), partial cloverleaf (parclo) B and AB, parclo A, SPDI, and TDI. The number of crashes range from 0 to 18. The following points are plotted: diamond/compressed: 6.5; roundabout diamond: 5.0; DDI: 6.0; parclo B/AB: 7.6; parclo A: 7.1; SPDI: 4.8; TDI: 4.0. The confidence interval ranges are roughly similar, showing a spread of approximately 9 minimum and 17 maximum.">
          <a:extLst>
            <a:ext uri="{FF2B5EF4-FFF2-40B4-BE49-F238E27FC236}">
              <a16:creationId xmlns:a16="http://schemas.microsoft.com/office/drawing/2014/main" id="{91260C74-2999-4243-A3ED-25EB5B56A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41</xdr:row>
      <xdr:rowOff>4543</xdr:rowOff>
    </xdr:from>
    <xdr:to>
      <xdr:col>6</xdr:col>
      <xdr:colOff>940763</xdr:colOff>
      <xdr:row>55</xdr:row>
      <xdr:rowOff>115912</xdr:rowOff>
    </xdr:to>
    <xdr:graphicFrame macro="">
      <xdr:nvGraphicFramePr>
        <xdr:cNvPr id="7" name="Chart 6" descr="Scatterplot of expected total crash frequency (property damage only (PDO)) with 95 percent confidence intervals for diamond/compressed, roundabout diamond, diverging diamond (DDI), partial cloverleaf (parclo) B and AB, parclo A, single-point diamond (SPDI), and tight diamond (TDI). The number of crashes range from 0 to 50. The following points are plotted: diamond/compressed: 19.7; roundabout diamond: 15.5; DDI: 15.7; parclo B/AB: 20.9; parclo A: 17.1; SPDI: 16.4; TDI: 17.2. The confidence interval ranges are roughly similar, showing a spread of approximately 33 minimum and 44 maximum.">
          <a:extLst>
            <a:ext uri="{FF2B5EF4-FFF2-40B4-BE49-F238E27FC236}">
              <a16:creationId xmlns:a16="http://schemas.microsoft.com/office/drawing/2014/main" id="{4B02984C-5A3F-4CC5-9522-961F806648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F0C6E90-E802-40EB-A27B-DDAED2BC5CCE}" name="Table1" displayName="Table1" ref="A4:B10" totalsRowShown="0" headerRowDxfId="148" dataDxfId="146" headerRowBorderDxfId="147">
  <autoFilter ref="A4:B10" xr:uid="{6F0C6E90-E802-40EB-A27B-DDAED2BC5CCE}"/>
  <tableColumns count="2">
    <tableColumn id="1" xr3:uid="{8A41A391-CC2A-42A1-B2B8-6DE8AB83F6D3}" name="Worksheet Name" dataDxfId="145"/>
    <tableColumn id="2" xr3:uid="{AFFBE201-3A59-499A-9BFF-B21C79EBC4AA}" name="Contents" dataDxfId="144"/>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794B250-CAA4-4EF9-8081-1DFC52839F10}" name="Table11" displayName="Table11" ref="A54:I63" totalsRowShown="0" dataDxfId="82">
  <autoFilter ref="A54:I63" xr:uid="{D794B250-CAA4-4EF9-8081-1DFC52839F10}"/>
  <tableColumns count="9">
    <tableColumn id="1" xr3:uid="{63D4305E-EDDF-431B-82DF-F0291BB61E9B}" name="Interchange Component" dataDxfId="81"/>
    <tableColumn id="2" xr3:uid="{DF0E182F-0547-433D-A1D1-344994107B70}" name="Diamond" dataDxfId="80"/>
    <tableColumn id="3" xr3:uid="{8CAD45EA-AAB7-4C0D-BFAA-8F2F8C76AAF2}" name="Compressed Diamond" dataDxfId="79"/>
    <tableColumn id="4" xr3:uid="{E0D8BA11-D302-4F6F-AE29-AB2E4E02D210}" name="Roundabout Diamond" dataDxfId="78"/>
    <tableColumn id="5" xr3:uid="{F5BE5465-1235-4BD9-9005-9CF8533BA3F4}" name="DDI" dataDxfId="77"/>
    <tableColumn id="6" xr3:uid="{E0D2DC5F-3360-4D6B-AEA4-4596987FCCD3}" name="Parclo _x000a_Type AB" dataDxfId="76"/>
    <tableColumn id="7" xr3:uid="{76AFF244-8CEF-458B-8A45-46BE0F81E546}" name="Parclo _x000a_Type A or B" dataDxfId="75"/>
    <tableColumn id="8" xr3:uid="{15D2C117-55DA-4258-8AE9-1BECBD3ADDB4}" name="SPDI" dataDxfId="74"/>
    <tableColumn id="9" xr3:uid="{92A5AE8A-28A4-4F9D-9B35-4E5A1BAED28B}" name="TDI" dataDxfId="73"/>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0A70F51-3C13-471A-AFA0-2C51C0FC7EC0}" name="Table15" displayName="Table15" ref="A3:H14" totalsRowShown="0" headerRowDxfId="72" dataDxfId="71" tableBorderDxfId="70">
  <autoFilter ref="A3:H14" xr:uid="{20A70F51-3C13-471A-AFA0-2C51C0FC7EC0}"/>
  <tableColumns count="8">
    <tableColumn id="1" xr3:uid="{52726318-D4DF-410D-97E1-2DE4572CAB2C}" name="Input Characteristic" dataDxfId="69"/>
    <tableColumn id="2" xr3:uid="{EBB0B7D0-AEA4-45AC-84ED-61F447FDB8B2}" name="Diamond/_x000a_Compressed" dataDxfId="68">
      <calculatedColumnFormula>PDO!B4</calculatedColumnFormula>
    </tableColumn>
    <tableColumn id="3" xr3:uid="{45D5AA1D-8BD6-4552-BDCC-B9AC74A3985B}" name="Roundabout Diamond" dataDxfId="67">
      <calculatedColumnFormula>PDO!C4</calculatedColumnFormula>
    </tableColumn>
    <tableColumn id="4" xr3:uid="{A740F454-83B5-4B4D-874C-0D3F0028DB9E}" name="DDI" dataDxfId="66">
      <calculatedColumnFormula>PDO!D4</calculatedColumnFormula>
    </tableColumn>
    <tableColumn id="5" xr3:uid="{6DB1F802-2317-4200-9CB8-DEE5C2EB6758}" name="Parclo B, AB" dataDxfId="65">
      <calculatedColumnFormula>PDO!E4</calculatedColumnFormula>
    </tableColumn>
    <tableColumn id="6" xr3:uid="{FA227F99-C48F-4765-9639-515F3B7872B1}" name="Parclo A" dataDxfId="64">
      <calculatedColumnFormula>PDO!F4</calculatedColumnFormula>
    </tableColumn>
    <tableColumn id="7" xr3:uid="{813456EB-5CC8-470C-9B4F-F950EA6C55DE}" name="SPDI" dataDxfId="63">
      <calculatedColumnFormula>PDO!G4</calculatedColumnFormula>
    </tableColumn>
    <tableColumn id="8" xr3:uid="{A1B940EC-363C-4041-BE17-D42636EFA176}" name="TDI" dataDxfId="62">
      <calculatedColumnFormula>PDO!H4</calculatedColumnFormula>
    </tableColumn>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64EF939-A780-4340-8462-AA8797AD7618}" name="Table16" displayName="Table16" ref="A17:H22" totalsRowShown="0" headerRowDxfId="61" tableBorderDxfId="60">
  <autoFilter ref="A17:H22" xr:uid="{E64EF939-A780-4340-8462-AA8797AD7618}"/>
  <tableColumns count="8">
    <tableColumn id="1" xr3:uid="{78898A4A-1802-4768-AF75-B12EF8BF24D4}" name="Predicted Crash Frequency by Severity" dataDxfId="59"/>
    <tableColumn id="2" xr3:uid="{748CE1B6-6F39-447C-B3FA-3894156C6EE3}" name="Diamond/_x000a_Compressed"/>
    <tableColumn id="3" xr3:uid="{646FBC3B-F7C0-41DC-8324-ED2DF60EA14A}" name="Roundabout Diamond"/>
    <tableColumn id="4" xr3:uid="{82ED1675-E4C2-4D36-9505-84512580C9F0}" name="DDI"/>
    <tableColumn id="5" xr3:uid="{850C7B5D-1241-455E-8B21-0109EA0B0C6D}" name="Parclo B, AB"/>
    <tableColumn id="6" xr3:uid="{796BF535-F765-4CE2-A62B-1641AF8B15BC}" name="Parclo A"/>
    <tableColumn id="7" xr3:uid="{11C4DF15-E338-4DC9-A1E8-B97465E6315B}" name="SPDI"/>
    <tableColumn id="8" xr3:uid="{5D4356A5-EAAD-4590-916A-B97CC545B367}" name="TDI"/>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B2D3DA9-C5BC-4FE7-88D6-E448AAA7ED1B}" name="Table17" displayName="Table17" ref="A24:H37" totalsRowShown="0" headerRowDxfId="58" dataDxfId="57">
  <autoFilter ref="A24:H37" xr:uid="{EB2D3DA9-C5BC-4FE7-88D6-E448AAA7ED1B}"/>
  <tableColumns count="8">
    <tableColumn id="1" xr3:uid="{419428F2-6FE6-46B1-9884-ED04FE20A5A9}" name="Calculation" dataDxfId="56"/>
    <tableColumn id="2" xr3:uid="{17A0369E-D117-4E8B-BBEB-1E7416BF470E}" name="Diamond/_x000a_Compressed" dataDxfId="55"/>
    <tableColumn id="3" xr3:uid="{E2B413B2-3B29-4DF4-B57D-8D33C692BFF3}" name="Roundabout Diamond" dataDxfId="54"/>
    <tableColumn id="4" xr3:uid="{A0A75D2A-98CA-4A41-B056-04552227727F}" name="DDI" dataDxfId="53"/>
    <tableColumn id="5" xr3:uid="{5CBDFAB5-0762-40F2-A2B2-95759F5B3181}" name="Parclo B, AB" dataDxfId="52"/>
    <tableColumn id="6" xr3:uid="{6ABEB1AB-0A96-4259-B344-1DFFF7F38E9D}" name="Parclo A" dataDxfId="51"/>
    <tableColumn id="7" xr3:uid="{E5580517-EC14-4F43-8A3E-6F83180A77D0}" name="SPDI" dataDxfId="50"/>
    <tableColumn id="8" xr3:uid="{80652959-8469-48BF-963C-6ABA8067A1C6}" name="TDI" dataDxfId="49"/>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1477990-2EF3-4308-8FD5-35A22A3D38E2}" name="Table12" displayName="Table12" ref="A3:G15" totalsRowShown="0" headerRowDxfId="43" dataDxfId="42" tableBorderDxfId="41">
  <autoFilter ref="A3:G15" xr:uid="{71477990-2EF3-4308-8FD5-35A22A3D38E2}"/>
  <tableColumns count="7">
    <tableColumn id="1" xr3:uid="{F9BE603F-9B22-463B-B9F0-BFD27A359749}" name="Input Characteristic" dataDxfId="40"/>
    <tableColumn id="2" xr3:uid="{F864B695-5E3F-4CA3-850C-C5718C365C5C}" name="Diamond/_x000a_Compressed" dataDxfId="39"/>
    <tableColumn id="3" xr3:uid="{6F408A58-8B80-4C64-92E2-9900D345DD97}" name="Roundabout Diamond" dataDxfId="38"/>
    <tableColumn id="4" xr3:uid="{F592F6A4-E3DA-4517-B5E9-B26979FC74A4}" name="DDI" dataDxfId="37"/>
    <tableColumn id="5" xr3:uid="{9F972D37-B1E5-4509-A08F-3D2E9B6226F4}" name="Parclo _x000a_(All Types)" dataDxfId="36"/>
    <tableColumn id="6" xr3:uid="{EDBA9C2F-73AB-4355-8791-AE09387FDE70}" name="SPDI" dataDxfId="35"/>
    <tableColumn id="7" xr3:uid="{928A9680-341B-4913-8B6E-94299407DD1C}" name="TDI" dataDxfId="34"/>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1598D19-B5EF-44D6-B974-A0FB95A58588}" name="Table13" displayName="Table13" ref="A17:G21" totalsRowShown="0" headerRowDxfId="33" dataDxfId="32">
  <autoFilter ref="A17:G21" xr:uid="{61598D19-B5EF-44D6-B974-A0FB95A58588}"/>
  <tableColumns count="7">
    <tableColumn id="1" xr3:uid="{015080EA-F387-404B-86B2-FA1D25B8D41C}" name="Crash Severity Probability" dataDxfId="31"/>
    <tableColumn id="2" xr3:uid="{421900CA-519A-4056-A46C-2665FF896576}" name="Diamond/_x000a_Compressed" dataDxfId="30"/>
    <tableColumn id="3" xr3:uid="{2DC3B94F-CC94-4867-9226-4911FA958257}" name="Roundabout Diamond" dataDxfId="29"/>
    <tableColumn id="4" xr3:uid="{3D5B2D39-6620-4B6C-8883-247AEAC82ED1}" name="DDI" dataDxfId="28"/>
    <tableColumn id="5" xr3:uid="{310DC442-73F4-400F-8FD4-228D8F8CA202}" name="Parclo" dataDxfId="27"/>
    <tableColumn id="6" xr3:uid="{6FAB7B55-C20A-4066-9EBD-7C8D96171872}" name="SPDI" dataDxfId="26"/>
    <tableColumn id="7" xr3:uid="{A0B60C32-7E6A-4FDB-94E7-07B22E0F9AD0}" name="TDI" dataDxfId="25"/>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A18E5CF-1903-466C-8972-ED18C3C2E4E2}" name="Table14" displayName="Table14" ref="A23:M39" totalsRowShown="0" headerRowDxfId="24" dataDxfId="23">
  <autoFilter ref="A23:M39" xr:uid="{1A18E5CF-1903-466C-8972-ED18C3C2E4E2}"/>
  <tableColumns count="13">
    <tableColumn id="1" xr3:uid="{238E6C15-B6CA-4BC0-9C99-2B5D115834B6}" name="Calculation" dataDxfId="22"/>
    <tableColumn id="2" xr3:uid="{B8197D97-88B6-4532-AD44-897F485C67FB}" name="Diamond/ Compressed _x000a_KA" dataDxfId="21"/>
    <tableColumn id="3" xr3:uid="{92B0166D-BA37-4AD9-86C1-A6141FEC1128}" name="Diamond/ Compressed _x000a_B" dataDxfId="20"/>
    <tableColumn id="4" xr3:uid="{5D985164-5141-49ED-BF71-40A225AFFBF7}" name="Roundabout Diamond _x000a_KA" dataDxfId="19"/>
    <tableColumn id="5" xr3:uid="{34473651-24A2-46A8-B506-A2F25D2A96A0}" name="Roundabout Diamond _x000a_B" dataDxfId="18"/>
    <tableColumn id="6" xr3:uid="{525CF080-C57A-482D-BBE3-18D6637E9C0A}" name="DDI _x000a_KA" dataDxfId="17"/>
    <tableColumn id="7" xr3:uid="{25A5A261-E80C-475B-8D29-5AF62448CB46}" name="DDI _x000a_B" dataDxfId="16"/>
    <tableColumn id="8" xr3:uid="{32A84609-8DB0-4550-96FE-F06BD40B0E94}" name="Parclo _x000a_(All Types) _x000a_KA" dataDxfId="15"/>
    <tableColumn id="9" xr3:uid="{979C0BDD-4198-46B0-B6D4-63DB216B55F4}" name="Parclo _x000a_(All Types) _x000a_B" dataDxfId="14"/>
    <tableColumn id="10" xr3:uid="{7D09E8FE-1282-4F58-BA79-97AC0B5D5C44}" name="SPDI _x000a_KA" dataDxfId="13"/>
    <tableColumn id="11" xr3:uid="{0A1824CF-35BE-4DE0-8EEC-DFC29F95E8AC}" name="SPDI _x000a_B" dataDxfId="12"/>
    <tableColumn id="12" xr3:uid="{BC06D716-1CFB-46F2-9538-647B308B03C6}" name="TDI _x000a_KA" dataDxfId="11"/>
    <tableColumn id="13" xr3:uid="{4E769D25-3483-4ECC-8BC2-498ADE62C5FF}" name="TDI _x000a_B" dataDxfId="10"/>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FBA0D87-6E57-4BE2-AA9D-EF246A701F58}" name="Table18" displayName="Table18" ref="A2:H9" totalsRowShown="0" headerRowDxfId="9" dataDxfId="8">
  <autoFilter ref="A2:H9" xr:uid="{6FBA0D87-6E57-4BE2-AA9D-EF246A701F58}"/>
  <tableColumns count="8">
    <tableColumn id="1" xr3:uid="{268EE877-A86C-4A29-8EF1-3ACA403672E8}" name="Column 1" dataDxfId="7"/>
    <tableColumn id="2" xr3:uid="{32BCC118-9A1B-4B17-BBFC-67BF9B265AC8}" name="Diamond/ Compressed" dataDxfId="6"/>
    <tableColumn id="3" xr3:uid="{728775DE-E656-487E-BF0C-1DDA7BA12EB9}" name="Roundabout Diamond" dataDxfId="5"/>
    <tableColumn id="4" xr3:uid="{7077CA9B-6FA9-4A7B-B438-EAF655DACDAD}" name="DDI" dataDxfId="4"/>
    <tableColumn id="5" xr3:uid="{3FE598A8-2794-4101-8B5B-927C0A272760}" name="Parclo B, AB" dataDxfId="3"/>
    <tableColumn id="6" xr3:uid="{E86F1B83-C3A6-439B-A2D8-E8B79C1364DE}" name="Parclo A" dataDxfId="2"/>
    <tableColumn id="7" xr3:uid="{D75AA3AC-17B2-4DB7-8C76-702151B028EB}" name="SPDI" dataDxfId="1"/>
    <tableColumn id="8" xr3:uid="{F6356E2B-2815-4AFA-8F47-E49E787A4788}" name="TDI" dataDxfId="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9327E5D-B086-4468-BE42-A1D2B820D922}" name="Table2" displayName="Table2" ref="A39:B50" totalsRowShown="0" headerRowDxfId="143" dataDxfId="142">
  <autoFilter ref="A39:B50" xr:uid="{09327E5D-B086-4468-BE42-A1D2B820D922}"/>
  <tableColumns count="2">
    <tableColumn id="1" xr3:uid="{DE45EA0E-D284-4CD6-90DA-2C488FC7B878}" name="PDO Worksheet Inputs" dataDxfId="141"/>
    <tableColumn id="2" xr3:uid="{663C7D93-2D84-4526-A37E-CB4B80C2F01A}" name="Description" dataDxfId="14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DDFE3BA-6CA9-4F0D-836C-8B2F5FFDF09A}" name="Table3" displayName="Table3" ref="A51:B62" totalsRowShown="0" dataDxfId="139">
  <autoFilter ref="A51:B62" xr:uid="{FDDFE3BA-6CA9-4F0D-836C-8B2F5FFDF09A}"/>
  <tableColumns count="2">
    <tableColumn id="1" xr3:uid="{4A9BFECB-1365-46CE-A0AC-B28CDDC65C94}" name="SDF Worksheet Inputs" dataDxfId="138"/>
    <tableColumn id="2" xr3:uid="{59FF1A26-A4A8-4BD1-B127-C6FBC0E80FEF}" name="Description" dataDxfId="137"/>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9AB3559-1078-43CD-9329-07CA93D26D85}" name="Table4" displayName="Table4" ref="A20:B36" totalsRowShown="0" headerRowDxfId="136">
  <autoFilter ref="A20:B36" xr:uid="{29AB3559-1078-43CD-9329-07CA93D26D85}"/>
  <tableColumns count="2">
    <tableColumn id="1" xr3:uid="{214DEFE1-7666-42E8-93DC-01B19A9503E5}" name="Abbreviations Used" dataDxfId="135"/>
    <tableColumn id="2" xr3:uid="{1493D368-2F19-4562-A3DD-C11C50EBA2C8}" name="Definition" dataDxfId="134"/>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029EAE8-1BCA-4576-83C7-DB58AB3C83EF}" name="Table6" displayName="Table6" ref="A14:B15" totalsRowShown="0" headerRowDxfId="133" headerRowBorderDxfId="132" tableBorderDxfId="131" totalsRowBorderDxfId="130">
  <autoFilter ref="A14:B15" xr:uid="{3029EAE8-1BCA-4576-83C7-DB58AB3C83EF}"/>
  <tableColumns count="2">
    <tableColumn id="1" xr3:uid="{C620CAC6-3E28-4414-8D88-C9E658003889}" name="Color Used" dataDxfId="129"/>
    <tableColumn id="2" xr3:uid="{17201998-E8EE-4383-846F-4E0EC4D29B4A}" name="Type of Information Required from User" dataDxfId="128"/>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EB065BA-56BE-439A-AA9E-CC4C3508C18A}" name="Table7" displayName="Table7" ref="A16:B19" totalsRowShown="0" headerRowDxfId="127" headerRowBorderDxfId="126" tableBorderDxfId="125" totalsRowBorderDxfId="124">
  <autoFilter ref="A16:B19" xr:uid="{FEB065BA-56BE-439A-AA9E-CC4C3508C18A}"/>
  <tableColumns count="2">
    <tableColumn id="1" xr3:uid="{5F692BEC-E5AE-478B-8212-A37B3B308C4D}" name="Color Used" dataDxfId="123"/>
    <tableColumn id="2" xr3:uid="{92622D17-F387-4643-9153-81011DCF257A}" name="Type of Information Output" dataDxfId="122"/>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1FAAE33-EAD0-435A-BEC2-715CE82BB8D9}" name="Table8" displayName="Table8" ref="A3:H14" totalsRowShown="0" headerRowDxfId="114" dataDxfId="113" tableBorderDxfId="112">
  <autoFilter ref="A3:H14" xr:uid="{B1FAAE33-EAD0-435A-BEC2-715CE82BB8D9}"/>
  <tableColumns count="8">
    <tableColumn id="1" xr3:uid="{F8234B81-0590-4A87-8C95-B809CC3F2B09}" name="Input Characteristic" dataDxfId="111"/>
    <tableColumn id="2" xr3:uid="{E12FFD1D-0004-4217-9066-EFE52128E929}" name="Diamond/_x000a_Compressed" dataDxfId="110"/>
    <tableColumn id="3" xr3:uid="{F1CC59DC-9694-4EED-98A7-88BD6B325392}" name="Roundabout Diamond" dataDxfId="109"/>
    <tableColumn id="4" xr3:uid="{9CD2EEC6-5603-4B8C-B944-0258045A70C6}" name="DDI" dataDxfId="108"/>
    <tableColumn id="5" xr3:uid="{95E5257A-F09C-40DF-B622-940DAC7985F3}" name="Parclo B, AB" dataDxfId="107"/>
    <tableColumn id="6" xr3:uid="{3C3876FA-1DFC-4636-8CF9-632BEF7BF8DC}" name="Parclo A" dataDxfId="106"/>
    <tableColumn id="7" xr3:uid="{DC6B46EE-D97D-443B-8C6A-099A9685B1E4}" name="SPDI" dataDxfId="105"/>
    <tableColumn id="8" xr3:uid="{5790ADCB-8E15-433F-81EA-B2363696771E}" name="TDI" dataDxfId="104"/>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E142A72-5D67-4443-B954-5E3220D8B096}" name="Table9" displayName="Table9" ref="A25:H34" totalsRowShown="0" headerRowDxfId="103" dataDxfId="102">
  <autoFilter ref="A25:H34" xr:uid="{1E142A72-5D67-4443-B954-5E3220D8B096}"/>
  <tableColumns count="8">
    <tableColumn id="1" xr3:uid="{4D9B5E9A-0260-49C8-8396-E34C724A3449}" name="Predicted Crash Frequency" dataDxfId="101"/>
    <tableColumn id="2" xr3:uid="{7BE5DF08-D424-499E-8BAF-9B98F137E1AE}" name="Diamond/_x000a_Compressed" dataDxfId="100"/>
    <tableColumn id="3" xr3:uid="{2AD23FDB-6F16-4715-A328-E0F99E75F811}" name="Roundabout Diamond" dataDxfId="99"/>
    <tableColumn id="4" xr3:uid="{EE905398-911C-4B72-B123-3F98FD2471DA}" name="DDI" dataDxfId="98"/>
    <tableColumn id="5" xr3:uid="{24AF468A-6B66-4AF2-84F1-9DBF85F326D2}" name="Parclo B, AB" dataDxfId="97"/>
    <tableColumn id="6" xr3:uid="{7BC2A75A-B270-4E0C-B87D-314480D4507F}" name="Parclo A" dataDxfId="96"/>
    <tableColumn id="7" xr3:uid="{8D2B798F-523A-4DFA-9DA3-EA59E7E5995B}" name="SPDI" dataDxfId="95"/>
    <tableColumn id="8" xr3:uid="{F4E16768-BEAD-4047-8275-A5DA138FC596}" name="TDI" dataDxfId="94"/>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E7D46D4-528C-47A0-91F6-B39E5F34E9E1}" name="Table10" displayName="Table10" ref="A37:H50" totalsRowShown="0" headerRowDxfId="93" dataDxfId="92" tableBorderDxfId="91">
  <autoFilter ref="A37:H50" xr:uid="{9E7D46D4-528C-47A0-91F6-B39E5F34E9E1}"/>
  <tableColumns count="8">
    <tableColumn id="1" xr3:uid="{29CBD85E-CC5E-4962-BAF8-1A3959835B72}" name="Calculation" dataDxfId="90"/>
    <tableColumn id="2" xr3:uid="{5BAD9794-F744-4353-9DD5-E95AD8BEF3AA}" name="Diamond/_x000a_Compressed" dataDxfId="89"/>
    <tableColumn id="3" xr3:uid="{0A1BB2CD-B369-44DF-AC88-E32D72482396}" name="Roundabout Diamond" dataDxfId="88"/>
    <tableColumn id="4" xr3:uid="{5514183F-E2E6-4DF8-9D9F-ADAD44892ED4}" name="DDI" dataDxfId="87"/>
    <tableColumn id="5" xr3:uid="{7087190C-6E4A-4383-8306-E1B8C7A9469C}" name="Parclo B, AB" dataDxfId="86"/>
    <tableColumn id="6" xr3:uid="{2E8DD581-CEB8-4B47-909E-B10783992D43}" name="Parclo A" dataDxfId="85"/>
    <tableColumn id="7" xr3:uid="{4DEABE2F-F4B8-4A77-A508-F431A14A5653}" name="SPDI" dataDxfId="84"/>
    <tableColumn id="8" xr3:uid="{3252C714-264C-408B-90CC-E058555D698A}" name="TDI" dataDxfId="83"/>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4.bin"/><Relationship Id="rId4" Type="http://schemas.openxmlformats.org/officeDocument/2006/relationships/table" Target="../tables/table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table" Target="../tables/table16.xml"/><Relationship Id="rId5" Type="http://schemas.openxmlformats.org/officeDocument/2006/relationships/table" Target="../tables/table15.xml"/><Relationship Id="rId4" Type="http://schemas.openxmlformats.org/officeDocument/2006/relationships/table" Target="../tables/table1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75A39-D4CA-444C-8849-2803C77F699B}">
  <dimension ref="A1:O19"/>
  <sheetViews>
    <sheetView showGridLines="0" tabSelected="1" zoomScaleNormal="100" zoomScaleSheetLayoutView="115" workbookViewId="0">
      <selection activeCell="I4" sqref="I4"/>
    </sheetView>
  </sheetViews>
  <sheetFormatPr defaultColWidth="8.85546875" defaultRowHeight="15" x14ac:dyDescent="0.25"/>
  <cols>
    <col min="1" max="1" width="89.140625" style="1" customWidth="1"/>
    <col min="2" max="9" width="8.85546875" style="1"/>
    <col min="10" max="10" width="8.85546875" style="1" customWidth="1"/>
    <col min="11" max="11" width="4.5703125" style="1" customWidth="1"/>
    <col min="12" max="16384" width="8.85546875" style="1"/>
  </cols>
  <sheetData>
    <row r="1" spans="1:15" ht="77.25" customHeight="1" x14ac:dyDescent="0.25">
      <c r="A1" s="40" t="s">
        <v>0</v>
      </c>
    </row>
    <row r="2" spans="1:15" ht="46.5" customHeight="1" x14ac:dyDescent="0.25">
      <c r="A2" s="4" t="s">
        <v>202</v>
      </c>
    </row>
    <row r="3" spans="1:15" x14ac:dyDescent="0.25">
      <c r="A3" s="31" t="s">
        <v>1</v>
      </c>
      <c r="B3" s="5"/>
      <c r="C3" s="5"/>
      <c r="D3" s="5"/>
      <c r="E3" s="5"/>
      <c r="F3" s="5"/>
      <c r="G3" s="5"/>
      <c r="H3" s="5"/>
      <c r="I3" s="5"/>
      <c r="J3" s="5"/>
      <c r="K3" s="5"/>
      <c r="L3" s="5"/>
      <c r="M3" s="5"/>
    </row>
    <row r="4" spans="1:15" ht="79.5" customHeight="1" x14ac:dyDescent="0.25">
      <c r="A4" s="39" t="s">
        <v>201</v>
      </c>
      <c r="B4" s="34"/>
      <c r="C4" s="34"/>
      <c r="D4" s="34"/>
      <c r="E4" s="34"/>
      <c r="F4" s="34"/>
      <c r="G4" s="34"/>
      <c r="H4" s="34"/>
      <c r="I4" s="34"/>
      <c r="J4" s="34"/>
      <c r="K4" s="34"/>
      <c r="L4" s="2"/>
      <c r="M4" s="2"/>
    </row>
    <row r="5" spans="1:15" ht="43.5" customHeight="1" x14ac:dyDescent="0.25">
      <c r="A5" s="34" t="s">
        <v>203</v>
      </c>
      <c r="B5" s="34"/>
      <c r="C5" s="34"/>
      <c r="D5" s="34"/>
      <c r="E5" s="34"/>
      <c r="F5" s="34"/>
      <c r="G5" s="34"/>
      <c r="H5" s="34"/>
      <c r="I5" s="34"/>
      <c r="J5" s="34"/>
      <c r="K5" s="34"/>
      <c r="L5" s="2"/>
      <c r="M5" s="2"/>
    </row>
    <row r="6" spans="1:15" x14ac:dyDescent="0.25">
      <c r="A6" s="113" t="s">
        <v>99</v>
      </c>
      <c r="B6" s="34"/>
      <c r="C6" s="34"/>
      <c r="D6" s="34"/>
      <c r="E6" s="34"/>
      <c r="F6" s="34"/>
      <c r="G6" s="34"/>
      <c r="H6" s="34"/>
      <c r="I6" s="34"/>
      <c r="J6" s="34"/>
      <c r="K6" s="34"/>
      <c r="L6" s="2"/>
      <c r="M6" s="2"/>
    </row>
    <row r="7" spans="1:15" x14ac:dyDescent="0.25">
      <c r="A7" s="34"/>
      <c r="B7" s="34"/>
      <c r="C7" s="34"/>
      <c r="D7" s="34"/>
      <c r="E7" s="34"/>
      <c r="F7" s="34"/>
      <c r="G7" s="34"/>
      <c r="H7" s="34"/>
      <c r="I7" s="34"/>
      <c r="J7" s="34"/>
      <c r="K7" s="34"/>
      <c r="L7" s="2"/>
      <c r="M7" s="2"/>
    </row>
    <row r="9" spans="1:15" x14ac:dyDescent="0.25">
      <c r="C9" s="6"/>
      <c r="D9" s="5"/>
      <c r="E9" s="5"/>
      <c r="F9" s="5"/>
      <c r="G9" s="5"/>
      <c r="H9" s="5"/>
      <c r="I9" s="5"/>
      <c r="J9" s="5"/>
      <c r="K9" s="5"/>
      <c r="L9" s="5"/>
      <c r="M9" s="5"/>
      <c r="N9" s="5"/>
      <c r="O9" s="5"/>
    </row>
    <row r="10" spans="1:15" x14ac:dyDescent="0.25">
      <c r="C10" s="16"/>
      <c r="D10" s="16"/>
      <c r="E10" s="16"/>
      <c r="F10" s="16"/>
      <c r="G10" s="16"/>
      <c r="H10" s="16"/>
      <c r="I10" s="16"/>
      <c r="J10" s="16"/>
      <c r="K10" s="16"/>
      <c r="L10" s="16"/>
      <c r="M10" s="16"/>
      <c r="N10" s="16"/>
      <c r="O10" s="16"/>
    </row>
    <row r="11" spans="1:15" x14ac:dyDescent="0.25">
      <c r="C11" s="16"/>
      <c r="D11" s="16"/>
      <c r="E11" s="16"/>
      <c r="F11" s="16"/>
      <c r="G11" s="16"/>
      <c r="H11" s="16"/>
      <c r="I11" s="16"/>
      <c r="J11" s="16"/>
      <c r="K11" s="16"/>
      <c r="L11" s="16"/>
      <c r="M11" s="16"/>
      <c r="N11" s="16"/>
      <c r="O11" s="16"/>
    </row>
    <row r="12" spans="1:15" x14ac:dyDescent="0.25">
      <c r="C12" s="16"/>
      <c r="D12" s="16"/>
      <c r="E12" s="16"/>
      <c r="F12" s="16"/>
      <c r="G12" s="16"/>
      <c r="H12" s="16"/>
      <c r="I12" s="16"/>
      <c r="J12" s="16"/>
      <c r="K12" s="16"/>
      <c r="L12" s="16"/>
      <c r="M12" s="16"/>
      <c r="N12" s="16"/>
      <c r="O12" s="16"/>
    </row>
    <row r="13" spans="1:15" x14ac:dyDescent="0.25">
      <c r="C13" s="16"/>
      <c r="D13" s="16"/>
      <c r="E13" s="16"/>
      <c r="F13" s="16"/>
      <c r="G13" s="16"/>
      <c r="H13" s="16"/>
      <c r="I13" s="16"/>
      <c r="J13" s="16"/>
      <c r="K13" s="16"/>
      <c r="L13" s="16"/>
      <c r="M13" s="16"/>
      <c r="N13" s="16"/>
      <c r="O13" s="16"/>
    </row>
    <row r="14" spans="1:15" x14ac:dyDescent="0.25">
      <c r="C14" s="16"/>
      <c r="D14" s="16"/>
      <c r="E14" s="16"/>
      <c r="F14" s="16"/>
      <c r="G14" s="16"/>
      <c r="H14" s="16"/>
      <c r="I14" s="16"/>
      <c r="J14" s="16"/>
      <c r="K14" s="16"/>
      <c r="L14" s="16"/>
      <c r="M14" s="16"/>
      <c r="N14" s="16"/>
      <c r="O14" s="16"/>
    </row>
    <row r="15" spans="1:15" x14ac:dyDescent="0.25">
      <c r="C15" s="16"/>
      <c r="D15" s="16"/>
      <c r="E15" s="16"/>
      <c r="F15" s="16"/>
      <c r="G15" s="16"/>
      <c r="H15" s="16"/>
      <c r="I15" s="16"/>
      <c r="J15" s="16"/>
      <c r="K15" s="16"/>
      <c r="L15" s="16"/>
      <c r="M15" s="16"/>
      <c r="N15" s="16"/>
      <c r="O15" s="16"/>
    </row>
    <row r="16" spans="1:15" x14ac:dyDescent="0.25">
      <c r="C16" s="5"/>
      <c r="D16" s="5"/>
      <c r="E16" s="5"/>
      <c r="F16" s="5"/>
      <c r="G16" s="5"/>
      <c r="H16" s="5"/>
      <c r="I16" s="5"/>
      <c r="J16" s="5"/>
      <c r="K16" s="5"/>
      <c r="L16" s="5"/>
      <c r="M16" s="5"/>
      <c r="N16" s="5"/>
      <c r="O16" s="5"/>
    </row>
    <row r="17" spans="3:15" x14ac:dyDescent="0.25">
      <c r="C17" s="118"/>
      <c r="D17" s="118"/>
      <c r="E17" s="118"/>
      <c r="F17" s="118"/>
      <c r="G17" s="118"/>
      <c r="H17" s="118"/>
      <c r="I17" s="118"/>
      <c r="J17" s="118"/>
      <c r="K17" s="118"/>
      <c r="L17" s="118"/>
      <c r="M17" s="118"/>
      <c r="N17" s="118"/>
      <c r="O17" s="118"/>
    </row>
    <row r="18" spans="3:15" x14ac:dyDescent="0.25">
      <c r="C18" s="118"/>
      <c r="D18" s="118"/>
      <c r="E18" s="118"/>
      <c r="F18" s="118"/>
      <c r="G18" s="118"/>
      <c r="H18" s="118"/>
      <c r="I18" s="118"/>
      <c r="J18" s="118"/>
      <c r="K18" s="118"/>
      <c r="L18" s="118"/>
      <c r="M18" s="118"/>
      <c r="N18" s="118"/>
      <c r="O18" s="118"/>
    </row>
    <row r="19" spans="3:15" x14ac:dyDescent="0.25">
      <c r="C19" s="118"/>
      <c r="D19" s="118"/>
      <c r="E19" s="118"/>
      <c r="F19" s="118"/>
      <c r="G19" s="118"/>
      <c r="H19" s="118"/>
      <c r="I19" s="118"/>
      <c r="J19" s="118"/>
      <c r="K19" s="118"/>
      <c r="L19" s="118"/>
      <c r="M19" s="118"/>
      <c r="N19" s="118"/>
      <c r="O19" s="118"/>
    </row>
  </sheetData>
  <mergeCells count="1">
    <mergeCell ref="C17:O1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4B249-EA63-4D21-9B1F-B61925B5AACD}">
  <dimension ref="A1:I62"/>
  <sheetViews>
    <sheetView showGridLines="0" topLeftCell="A48" zoomScaleNormal="100" zoomScaleSheetLayoutView="85" workbookViewId="0">
      <selection activeCell="A56" sqref="A56"/>
    </sheetView>
  </sheetViews>
  <sheetFormatPr defaultColWidth="8.85546875" defaultRowHeight="15" x14ac:dyDescent="0.25"/>
  <cols>
    <col min="1" max="1" width="28.5703125" style="1" customWidth="1"/>
    <col min="2" max="2" width="75" style="1" customWidth="1"/>
    <col min="3" max="3" width="8.85546875" style="1"/>
    <col min="4" max="4" width="45.42578125" style="2" customWidth="1"/>
    <col min="5" max="5" width="61.5703125" style="2" customWidth="1"/>
    <col min="6" max="9" width="8.85546875" style="1"/>
    <col min="10" max="10" width="8.85546875" style="1" customWidth="1"/>
    <col min="11" max="16384" width="8.85546875" style="1"/>
  </cols>
  <sheetData>
    <row r="1" spans="1:9" customFormat="1" x14ac:dyDescent="0.25">
      <c r="A1" s="47" t="s">
        <v>2</v>
      </c>
      <c r="B1" s="42"/>
      <c r="D1" s="2"/>
      <c r="E1" s="2"/>
    </row>
    <row r="2" spans="1:9" ht="15" customHeight="1" x14ac:dyDescent="0.25">
      <c r="A2" s="45" t="s">
        <v>204</v>
      </c>
      <c r="B2" s="45"/>
      <c r="C2" s="34"/>
      <c r="F2" s="39"/>
      <c r="G2" s="39"/>
      <c r="H2" s="39"/>
      <c r="I2" s="39"/>
    </row>
    <row r="3" spans="1:9" ht="27.75" customHeight="1" x14ac:dyDescent="0.25">
      <c r="A3" s="45" t="s">
        <v>6</v>
      </c>
      <c r="B3" s="5"/>
    </row>
    <row r="4" spans="1:9" ht="30.75" customHeight="1" x14ac:dyDescent="0.25">
      <c r="A4" s="92" t="s">
        <v>7</v>
      </c>
      <c r="B4" s="92" t="s">
        <v>8</v>
      </c>
    </row>
    <row r="5" spans="1:9" x14ac:dyDescent="0.25">
      <c r="A5" s="45" t="s">
        <v>9</v>
      </c>
      <c r="B5" s="39" t="s">
        <v>1</v>
      </c>
    </row>
    <row r="6" spans="1:9" ht="30" x14ac:dyDescent="0.25">
      <c r="A6" s="45" t="s">
        <v>10</v>
      </c>
      <c r="B6" s="39" t="s">
        <v>101</v>
      </c>
    </row>
    <row r="7" spans="1:9" ht="45" x14ac:dyDescent="0.25">
      <c r="A7" s="45" t="s">
        <v>11</v>
      </c>
      <c r="B7" s="39" t="s">
        <v>102</v>
      </c>
    </row>
    <row r="8" spans="1:9" ht="30" x14ac:dyDescent="0.25">
      <c r="A8" s="45" t="s">
        <v>13</v>
      </c>
      <c r="B8" s="39" t="s">
        <v>103</v>
      </c>
    </row>
    <row r="9" spans="1:9" ht="30" x14ac:dyDescent="0.25">
      <c r="A9" s="45" t="s">
        <v>15</v>
      </c>
      <c r="B9" s="39" t="s">
        <v>104</v>
      </c>
    </row>
    <row r="10" spans="1:9" ht="30" x14ac:dyDescent="0.25">
      <c r="A10" s="45" t="s">
        <v>16</v>
      </c>
      <c r="B10" s="39" t="s">
        <v>205</v>
      </c>
    </row>
    <row r="11" spans="1:9" ht="42" customHeight="1" x14ac:dyDescent="0.25">
      <c r="A11" s="47" t="s">
        <v>21</v>
      </c>
      <c r="B11" s="42"/>
    </row>
    <row r="12" spans="1:9" ht="15" customHeight="1" x14ac:dyDescent="0.25">
      <c r="A12" s="45" t="s">
        <v>118</v>
      </c>
      <c r="B12" s="45"/>
    </row>
    <row r="13" spans="1:9" ht="27.75" customHeight="1" x14ac:dyDescent="0.25">
      <c r="A13" s="45" t="s">
        <v>23</v>
      </c>
      <c r="B13" s="5"/>
    </row>
    <row r="14" spans="1:9" ht="30" customHeight="1" x14ac:dyDescent="0.25">
      <c r="A14" s="92" t="s">
        <v>24</v>
      </c>
      <c r="B14" s="93" t="s">
        <v>25</v>
      </c>
    </row>
    <row r="15" spans="1:9" ht="50.1" customHeight="1" x14ac:dyDescent="0.25">
      <c r="A15" s="95" t="s">
        <v>156</v>
      </c>
      <c r="B15" s="91" t="s">
        <v>28</v>
      </c>
      <c r="C15"/>
    </row>
    <row r="16" spans="1:9" ht="50.1" customHeight="1" x14ac:dyDescent="0.25">
      <c r="A16" s="92" t="s">
        <v>24</v>
      </c>
      <c r="B16" s="93" t="s">
        <v>30</v>
      </c>
    </row>
    <row r="17" spans="1:5" ht="50.1" customHeight="1" x14ac:dyDescent="0.25">
      <c r="A17" s="96" t="s">
        <v>120</v>
      </c>
      <c r="B17" s="94" t="s">
        <v>31</v>
      </c>
    </row>
    <row r="18" spans="1:5" ht="50.1" customHeight="1" x14ac:dyDescent="0.25">
      <c r="A18" s="97" t="s">
        <v>121</v>
      </c>
      <c r="B18" s="94" t="s">
        <v>168</v>
      </c>
    </row>
    <row r="19" spans="1:5" ht="50.1" customHeight="1" x14ac:dyDescent="0.25">
      <c r="A19" s="98" t="s">
        <v>122</v>
      </c>
      <c r="B19" s="91" t="s">
        <v>32</v>
      </c>
    </row>
    <row r="20" spans="1:5" ht="50.1" customHeight="1" x14ac:dyDescent="0.25">
      <c r="A20" s="41" t="s">
        <v>33</v>
      </c>
      <c r="B20" s="41" t="s">
        <v>123</v>
      </c>
    </row>
    <row r="21" spans="1:5" s="45" customFormat="1" x14ac:dyDescent="0.25">
      <c r="A21" s="1" t="s">
        <v>34</v>
      </c>
      <c r="B21" s="2" t="s">
        <v>169</v>
      </c>
    </row>
    <row r="22" spans="1:5" x14ac:dyDescent="0.25">
      <c r="A22" s="45" t="s">
        <v>35</v>
      </c>
      <c r="B22" s="39" t="s">
        <v>170</v>
      </c>
    </row>
    <row r="23" spans="1:5" x14ac:dyDescent="0.25">
      <c r="A23" s="45" t="s">
        <v>36</v>
      </c>
      <c r="B23" s="39" t="s">
        <v>171</v>
      </c>
    </row>
    <row r="24" spans="1:5" x14ac:dyDescent="0.25">
      <c r="A24" s="45" t="s">
        <v>37</v>
      </c>
      <c r="B24" s="39" t="s">
        <v>172</v>
      </c>
    </row>
    <row r="25" spans="1:5" x14ac:dyDescent="0.25">
      <c r="A25" s="45" t="s">
        <v>38</v>
      </c>
      <c r="B25" s="39" t="s">
        <v>173</v>
      </c>
    </row>
    <row r="26" spans="1:5" x14ac:dyDescent="0.25">
      <c r="A26" s="45" t="s">
        <v>39</v>
      </c>
      <c r="B26" s="39" t="s">
        <v>174</v>
      </c>
    </row>
    <row r="27" spans="1:5" x14ac:dyDescent="0.25">
      <c r="A27" s="45" t="s">
        <v>40</v>
      </c>
      <c r="B27" s="39" t="s">
        <v>175</v>
      </c>
    </row>
    <row r="28" spans="1:5" x14ac:dyDescent="0.25">
      <c r="A28" s="45" t="s">
        <v>15</v>
      </c>
      <c r="B28" s="39" t="s">
        <v>176</v>
      </c>
    </row>
    <row r="29" spans="1:5" x14ac:dyDescent="0.25">
      <c r="A29" s="45" t="s">
        <v>41</v>
      </c>
      <c r="B29" s="39" t="s">
        <v>177</v>
      </c>
      <c r="D29" s="1"/>
      <c r="E29" s="1"/>
    </row>
    <row r="30" spans="1:5" x14ac:dyDescent="0.25">
      <c r="A30" s="45" t="s">
        <v>42</v>
      </c>
      <c r="B30" s="39" t="s">
        <v>178</v>
      </c>
    </row>
    <row r="31" spans="1:5" x14ac:dyDescent="0.25">
      <c r="A31" s="45" t="s">
        <v>43</v>
      </c>
      <c r="B31" s="39" t="s">
        <v>179</v>
      </c>
    </row>
    <row r="32" spans="1:5" x14ac:dyDescent="0.25">
      <c r="A32" s="45" t="s">
        <v>44</v>
      </c>
      <c r="B32" s="39" t="s">
        <v>180</v>
      </c>
      <c r="D32" s="1"/>
      <c r="E32" s="1"/>
    </row>
    <row r="33" spans="1:2" x14ac:dyDescent="0.25">
      <c r="A33" s="45" t="s">
        <v>45</v>
      </c>
      <c r="B33" s="39" t="s">
        <v>181</v>
      </c>
    </row>
    <row r="34" spans="1:2" x14ac:dyDescent="0.25">
      <c r="A34" s="45" t="s">
        <v>46</v>
      </c>
      <c r="B34" s="39" t="s">
        <v>182</v>
      </c>
    </row>
    <row r="35" spans="1:2" x14ac:dyDescent="0.25">
      <c r="A35" s="45" t="s">
        <v>47</v>
      </c>
      <c r="B35" s="39" t="s">
        <v>183</v>
      </c>
    </row>
    <row r="36" spans="1:2" ht="30" x14ac:dyDescent="0.25">
      <c r="A36" s="45" t="s">
        <v>48</v>
      </c>
      <c r="B36" s="39" t="s">
        <v>184</v>
      </c>
    </row>
    <row r="37" spans="1:2" ht="33.75" customHeight="1" x14ac:dyDescent="0.25">
      <c r="A37" s="48" t="s">
        <v>3</v>
      </c>
      <c r="B37" s="44"/>
    </row>
    <row r="38" spans="1:2" ht="40.5" customHeight="1" x14ac:dyDescent="0.25">
      <c r="A38" s="45" t="s">
        <v>100</v>
      </c>
      <c r="B38" s="45"/>
    </row>
    <row r="39" spans="1:2" x14ac:dyDescent="0.25">
      <c r="A39" s="43" t="s">
        <v>4</v>
      </c>
      <c r="B39" s="99" t="s">
        <v>119</v>
      </c>
    </row>
    <row r="40" spans="1:2" ht="30" x14ac:dyDescent="0.25">
      <c r="A40" s="39" t="s">
        <v>5</v>
      </c>
      <c r="B40" s="39" t="s">
        <v>105</v>
      </c>
    </row>
    <row r="41" spans="1:2" ht="45" x14ac:dyDescent="0.25">
      <c r="A41" s="39" t="s">
        <v>185</v>
      </c>
      <c r="B41" s="39" t="s">
        <v>186</v>
      </c>
    </row>
    <row r="42" spans="1:2" ht="45" x14ac:dyDescent="0.25">
      <c r="A42" s="39" t="s">
        <v>206</v>
      </c>
      <c r="B42" s="39" t="s">
        <v>207</v>
      </c>
    </row>
    <row r="43" spans="1:2" ht="45" x14ac:dyDescent="0.25">
      <c r="A43" s="39" t="s">
        <v>12</v>
      </c>
      <c r="B43" s="39" t="s">
        <v>247</v>
      </c>
    </row>
    <row r="44" spans="1:2" ht="30" x14ac:dyDescent="0.25">
      <c r="A44" s="39" t="s">
        <v>14</v>
      </c>
      <c r="B44" s="39" t="s">
        <v>106</v>
      </c>
    </row>
    <row r="45" spans="1:2" ht="30" x14ac:dyDescent="0.25">
      <c r="A45" s="39" t="s">
        <v>208</v>
      </c>
      <c r="B45" s="39" t="s">
        <v>107</v>
      </c>
    </row>
    <row r="46" spans="1:2" x14ac:dyDescent="0.25">
      <c r="A46" s="39" t="s">
        <v>17</v>
      </c>
      <c r="B46" s="39" t="s">
        <v>18</v>
      </c>
    </row>
    <row r="47" spans="1:2" ht="30" x14ac:dyDescent="0.25">
      <c r="A47" s="39" t="s">
        <v>209</v>
      </c>
      <c r="B47" s="39" t="s">
        <v>108</v>
      </c>
    </row>
    <row r="48" spans="1:2" x14ac:dyDescent="0.25">
      <c r="A48" s="39" t="s">
        <v>19</v>
      </c>
      <c r="B48" s="39" t="s">
        <v>109</v>
      </c>
    </row>
    <row r="49" spans="1:2" ht="30" x14ac:dyDescent="0.25">
      <c r="A49" s="39" t="s">
        <v>20</v>
      </c>
      <c r="B49" s="39" t="s">
        <v>110</v>
      </c>
    </row>
    <row r="50" spans="1:2" ht="30" x14ac:dyDescent="0.25">
      <c r="A50" s="39" t="s">
        <v>55</v>
      </c>
      <c r="B50" s="39" t="s">
        <v>111</v>
      </c>
    </row>
    <row r="51" spans="1:2" ht="63.75" customHeight="1" x14ac:dyDescent="0.25">
      <c r="A51" s="46" t="s">
        <v>22</v>
      </c>
      <c r="B51" s="49" t="s">
        <v>119</v>
      </c>
    </row>
    <row r="52" spans="1:2" ht="30" x14ac:dyDescent="0.25">
      <c r="A52" s="39" t="s">
        <v>210</v>
      </c>
      <c r="B52" s="39" t="s">
        <v>112</v>
      </c>
    </row>
    <row r="53" spans="1:2" ht="30" x14ac:dyDescent="0.25">
      <c r="A53" s="39" t="s">
        <v>212</v>
      </c>
      <c r="B53" s="39" t="s">
        <v>113</v>
      </c>
    </row>
    <row r="54" spans="1:2" x14ac:dyDescent="0.25">
      <c r="A54" s="39" t="s">
        <v>26</v>
      </c>
      <c r="B54" s="39" t="s">
        <v>27</v>
      </c>
    </row>
    <row r="55" spans="1:2" x14ac:dyDescent="0.25">
      <c r="A55" s="39" t="s">
        <v>213</v>
      </c>
      <c r="B55" s="39" t="s">
        <v>29</v>
      </c>
    </row>
    <row r="56" spans="1:2" ht="60" x14ac:dyDescent="0.25">
      <c r="A56" s="39" t="s">
        <v>215</v>
      </c>
      <c r="B56" s="39" t="s">
        <v>114</v>
      </c>
    </row>
    <row r="57" spans="1:2" ht="45" x14ac:dyDescent="0.25">
      <c r="A57" s="39" t="s">
        <v>216</v>
      </c>
      <c r="B57" s="39" t="s">
        <v>115</v>
      </c>
    </row>
    <row r="58" spans="1:2" ht="60" x14ac:dyDescent="0.25">
      <c r="A58" s="39" t="s">
        <v>187</v>
      </c>
      <c r="B58" s="39" t="s">
        <v>188</v>
      </c>
    </row>
    <row r="59" spans="1:2" ht="30" x14ac:dyDescent="0.25">
      <c r="A59" s="39" t="s">
        <v>89</v>
      </c>
      <c r="B59" s="39" t="s">
        <v>116</v>
      </c>
    </row>
    <row r="60" spans="1:2" ht="30" x14ac:dyDescent="0.25">
      <c r="A60" s="39" t="s">
        <v>214</v>
      </c>
      <c r="B60" s="39" t="s">
        <v>117</v>
      </c>
    </row>
    <row r="61" spans="1:2" ht="30" x14ac:dyDescent="0.25">
      <c r="A61" s="39" t="s">
        <v>190</v>
      </c>
      <c r="B61" s="39" t="s">
        <v>189</v>
      </c>
    </row>
    <row r="62" spans="1:2" ht="30" x14ac:dyDescent="0.25">
      <c r="A62" s="39" t="s">
        <v>191</v>
      </c>
      <c r="B62" s="39" t="s">
        <v>192</v>
      </c>
    </row>
  </sheetData>
  <pageMargins left="0.7" right="0.7" top="0.75" bottom="0.75" header="0.3" footer="0.3"/>
  <pageSetup orientation="portrait"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B4534-3EC6-435F-BC27-6D5716CBADD9}">
  <dimension ref="A1:L63"/>
  <sheetViews>
    <sheetView topLeftCell="A3" zoomScaleNormal="100" zoomScaleSheetLayoutView="100" workbookViewId="0">
      <selection activeCell="A3" sqref="A3"/>
    </sheetView>
  </sheetViews>
  <sheetFormatPr defaultColWidth="0" defaultRowHeight="15" zeroHeight="1" x14ac:dyDescent="0.25"/>
  <cols>
    <col min="1" max="1" width="59.42578125" style="1" customWidth="1"/>
    <col min="2" max="9" width="15.5703125" style="1" customWidth="1"/>
    <col min="10" max="10" width="15.5703125" style="1" hidden="1" customWidth="1"/>
    <col min="11" max="11" width="8.85546875" style="1" hidden="1" customWidth="1"/>
    <col min="12" max="12" width="17" style="1" hidden="1" customWidth="1"/>
    <col min="13" max="16384" width="8.85546875" style="1" hidden="1"/>
  </cols>
  <sheetData>
    <row r="1" spans="1:10" ht="27.75" customHeight="1" thickBot="1" x14ac:dyDescent="0.3">
      <c r="A1" s="51" t="s">
        <v>49</v>
      </c>
    </row>
    <row r="2" spans="1:10" ht="14.45" customHeight="1" thickBot="1" x14ac:dyDescent="0.3">
      <c r="A2" s="70" t="s">
        <v>50</v>
      </c>
      <c r="B2" s="70"/>
      <c r="C2" s="70"/>
      <c r="D2" s="70"/>
      <c r="E2" s="70"/>
      <c r="F2" s="70"/>
      <c r="G2" s="70"/>
      <c r="H2" s="70"/>
      <c r="I2" s="70"/>
      <c r="J2" s="70"/>
    </row>
    <row r="3" spans="1:10" ht="42.75" customHeight="1" x14ac:dyDescent="0.25">
      <c r="A3" s="116" t="s">
        <v>217</v>
      </c>
      <c r="B3" s="50" t="s">
        <v>51</v>
      </c>
      <c r="C3" s="50" t="s">
        <v>52</v>
      </c>
      <c r="D3" s="19" t="s">
        <v>37</v>
      </c>
      <c r="E3" s="19" t="s">
        <v>53</v>
      </c>
      <c r="F3" s="19" t="s">
        <v>54</v>
      </c>
      <c r="G3" s="19" t="s">
        <v>41</v>
      </c>
      <c r="H3" s="19" t="s">
        <v>42</v>
      </c>
      <c r="I3" s="17"/>
    </row>
    <row r="4" spans="1:10" x14ac:dyDescent="0.25">
      <c r="A4" s="34" t="s">
        <v>144</v>
      </c>
      <c r="B4" s="28">
        <v>0</v>
      </c>
      <c r="C4" s="28">
        <v>0</v>
      </c>
      <c r="D4" s="28">
        <v>0</v>
      </c>
      <c r="E4" s="28">
        <v>0</v>
      </c>
      <c r="F4" s="28">
        <v>0</v>
      </c>
      <c r="G4" s="28">
        <v>0</v>
      </c>
      <c r="H4" s="28">
        <v>0</v>
      </c>
    </row>
    <row r="5" spans="1:10" x14ac:dyDescent="0.25">
      <c r="A5" s="34" t="s">
        <v>145</v>
      </c>
      <c r="B5" s="29">
        <v>0</v>
      </c>
      <c r="C5" s="29">
        <v>0</v>
      </c>
      <c r="D5" s="29">
        <v>0</v>
      </c>
      <c r="E5" s="29">
        <v>0</v>
      </c>
      <c r="F5" s="29">
        <v>0</v>
      </c>
      <c r="G5" s="29">
        <v>0</v>
      </c>
      <c r="H5" s="29">
        <v>0</v>
      </c>
    </row>
    <row r="6" spans="1:10" ht="30" x14ac:dyDescent="0.25">
      <c r="A6" s="34" t="s">
        <v>224</v>
      </c>
      <c r="B6" s="29">
        <v>0</v>
      </c>
      <c r="C6" s="29">
        <v>0</v>
      </c>
      <c r="D6" s="29">
        <v>0</v>
      </c>
      <c r="E6" s="29">
        <v>0</v>
      </c>
      <c r="F6" s="29">
        <v>0</v>
      </c>
      <c r="G6" s="29">
        <v>0</v>
      </c>
      <c r="H6" s="29">
        <v>0</v>
      </c>
    </row>
    <row r="7" spans="1:10" x14ac:dyDescent="0.25">
      <c r="A7" s="34" t="s">
        <v>146</v>
      </c>
      <c r="B7" s="29">
        <v>0</v>
      </c>
      <c r="C7" s="29">
        <v>0</v>
      </c>
      <c r="D7" s="29">
        <v>0</v>
      </c>
      <c r="E7" s="29">
        <v>0</v>
      </c>
      <c r="F7" s="29">
        <v>0</v>
      </c>
      <c r="G7" s="29">
        <v>0</v>
      </c>
      <c r="H7" s="29">
        <v>0</v>
      </c>
    </row>
    <row r="8" spans="1:10" x14ac:dyDescent="0.25">
      <c r="A8" s="34" t="s">
        <v>193</v>
      </c>
      <c r="B8" s="32">
        <v>60000</v>
      </c>
      <c r="C8" s="32">
        <v>60000</v>
      </c>
      <c r="D8" s="32">
        <v>60000</v>
      </c>
      <c r="E8" s="32">
        <v>60000</v>
      </c>
      <c r="F8" s="32">
        <v>60000</v>
      </c>
      <c r="G8" s="32">
        <v>60000</v>
      </c>
      <c r="H8" s="32">
        <v>60000</v>
      </c>
    </row>
    <row r="9" spans="1:10" x14ac:dyDescent="0.25">
      <c r="A9" s="34" t="s">
        <v>221</v>
      </c>
      <c r="B9" s="29">
        <v>4</v>
      </c>
      <c r="C9" s="29">
        <v>4</v>
      </c>
      <c r="D9" s="29">
        <v>4</v>
      </c>
      <c r="E9" s="29">
        <v>4</v>
      </c>
      <c r="F9" s="29">
        <v>4</v>
      </c>
      <c r="G9" s="29">
        <v>4</v>
      </c>
      <c r="H9" s="29">
        <v>4</v>
      </c>
    </row>
    <row r="10" spans="1:10" x14ac:dyDescent="0.25">
      <c r="A10" s="34" t="s">
        <v>194</v>
      </c>
      <c r="B10" s="32">
        <v>5000</v>
      </c>
      <c r="C10" s="32">
        <v>5000</v>
      </c>
      <c r="D10" s="32">
        <v>5000</v>
      </c>
      <c r="E10" s="32">
        <v>5000</v>
      </c>
      <c r="F10" s="32">
        <v>5000</v>
      </c>
      <c r="G10" s="32">
        <v>5000</v>
      </c>
      <c r="H10" s="32">
        <v>5000</v>
      </c>
    </row>
    <row r="11" spans="1:10" x14ac:dyDescent="0.25">
      <c r="A11" s="34" t="s">
        <v>222</v>
      </c>
      <c r="B11" s="29">
        <v>4</v>
      </c>
      <c r="C11" s="29">
        <v>4</v>
      </c>
      <c r="D11" s="29">
        <v>4</v>
      </c>
      <c r="E11" s="29">
        <v>4</v>
      </c>
      <c r="F11" s="29">
        <v>4</v>
      </c>
      <c r="G11" s="29">
        <v>4</v>
      </c>
      <c r="H11" s="29">
        <v>4</v>
      </c>
    </row>
    <row r="12" spans="1:10" x14ac:dyDescent="0.25">
      <c r="A12" s="34" t="s">
        <v>195</v>
      </c>
      <c r="B12" s="32">
        <v>20000</v>
      </c>
      <c r="C12" s="32">
        <v>20000</v>
      </c>
      <c r="D12" s="32">
        <v>20000</v>
      </c>
      <c r="E12" s="32">
        <v>20000</v>
      </c>
      <c r="F12" s="32">
        <v>20000</v>
      </c>
      <c r="G12" s="32">
        <v>20000</v>
      </c>
      <c r="H12" s="32">
        <v>20000</v>
      </c>
    </row>
    <row r="13" spans="1:10" x14ac:dyDescent="0.25">
      <c r="A13" s="34" t="s">
        <v>196</v>
      </c>
      <c r="B13" s="29">
        <v>0</v>
      </c>
      <c r="C13" s="29">
        <v>0</v>
      </c>
      <c r="D13" s="29">
        <v>0</v>
      </c>
      <c r="E13" s="29">
        <v>0</v>
      </c>
      <c r="F13" s="29">
        <v>0</v>
      </c>
      <c r="G13" s="29">
        <v>0</v>
      </c>
      <c r="H13" s="29">
        <v>0</v>
      </c>
    </row>
    <row r="14" spans="1:10" x14ac:dyDescent="0.25">
      <c r="A14" s="34" t="s">
        <v>223</v>
      </c>
      <c r="B14" s="30">
        <v>0</v>
      </c>
      <c r="C14" s="30">
        <v>0</v>
      </c>
      <c r="D14" s="30">
        <v>0</v>
      </c>
      <c r="E14" s="30">
        <v>0</v>
      </c>
      <c r="F14" s="30">
        <v>0</v>
      </c>
      <c r="G14" s="30">
        <v>0</v>
      </c>
      <c r="H14" s="30">
        <v>0</v>
      </c>
    </row>
    <row r="15" spans="1:10" ht="69.75" customHeight="1" x14ac:dyDescent="0.25">
      <c r="B15" s="52" t="s">
        <v>56</v>
      </c>
      <c r="E15" s="8"/>
    </row>
    <row r="16" spans="1:10" ht="14.45" customHeight="1" x14ac:dyDescent="0.25">
      <c r="A16" s="102" t="s">
        <v>57</v>
      </c>
      <c r="B16" s="100"/>
      <c r="C16" s="101"/>
      <c r="D16" s="101"/>
      <c r="E16" s="101"/>
      <c r="F16" s="101"/>
      <c r="G16" s="101"/>
      <c r="H16" s="101"/>
      <c r="I16" s="101"/>
      <c r="J16" s="101"/>
    </row>
    <row r="17" spans="1:10" ht="14.45" customHeight="1" x14ac:dyDescent="0.25">
      <c r="A17" s="21" t="str">
        <f>"Ramp 1 AADT = "</f>
        <v xml:space="preserve">Ramp 1 AADT = </v>
      </c>
      <c r="B17" s="28">
        <v>500</v>
      </c>
      <c r="C17" s="53" t="s">
        <v>167</v>
      </c>
      <c r="D17" s="53"/>
      <c r="E17" s="53"/>
      <c r="F17" s="53"/>
      <c r="G17" s="53"/>
      <c r="H17" s="53"/>
    </row>
    <row r="18" spans="1:10" ht="14.45" customHeight="1" x14ac:dyDescent="0.25">
      <c r="A18" s="21" t="str">
        <f>"Ramp 2 AADT = "</f>
        <v xml:space="preserve">Ramp 2 AADT = </v>
      </c>
      <c r="B18" s="29">
        <v>500</v>
      </c>
      <c r="C18" s="53" t="s">
        <v>125</v>
      </c>
      <c r="D18" s="4" t="s">
        <v>58</v>
      </c>
      <c r="E18" s="20">
        <f>STDEV(B17:B22)</f>
        <v>0</v>
      </c>
      <c r="F18" s="53" t="s">
        <v>167</v>
      </c>
      <c r="G18" s="53"/>
    </row>
    <row r="19" spans="1:10" ht="14.45" customHeight="1" thickBot="1" x14ac:dyDescent="0.3">
      <c r="A19" s="21" t="str">
        <f>"Ramp 3 AADT = "</f>
        <v xml:space="preserve">Ramp 3 AADT = </v>
      </c>
      <c r="B19" s="29">
        <v>500</v>
      </c>
      <c r="C19" s="53" t="s">
        <v>125</v>
      </c>
      <c r="D19" s="4" t="s">
        <v>59</v>
      </c>
      <c r="E19" s="4">
        <f>AVERAGE(B17:B22)</f>
        <v>500</v>
      </c>
      <c r="F19" s="69" t="s">
        <v>60</v>
      </c>
      <c r="G19" s="69"/>
      <c r="I19" s="53" t="s">
        <v>167</v>
      </c>
    </row>
    <row r="20" spans="1:10" ht="14.45" customHeight="1" thickBot="1" x14ac:dyDescent="0.3">
      <c r="A20" s="21" t="str">
        <f>"Ramp 4 AADT = "</f>
        <v xml:space="preserve">Ramp 4 AADT = </v>
      </c>
      <c r="B20" s="29">
        <v>500</v>
      </c>
      <c r="C20" s="53" t="s">
        <v>125</v>
      </c>
      <c r="D20" s="4" t="s">
        <v>36</v>
      </c>
      <c r="E20" s="12">
        <f>E18/E19</f>
        <v>0</v>
      </c>
      <c r="F20" s="10" t="s">
        <v>61</v>
      </c>
      <c r="G20" s="69"/>
      <c r="I20" s="53" t="s">
        <v>167</v>
      </c>
    </row>
    <row r="21" spans="1:10" ht="14.45" customHeight="1" x14ac:dyDescent="0.25">
      <c r="A21" s="21" t="str">
        <f>"Ramp 5 AADT = "</f>
        <v xml:space="preserve">Ramp 5 AADT = </v>
      </c>
      <c r="B21" s="29"/>
      <c r="C21" s="53" t="s">
        <v>167</v>
      </c>
      <c r="D21" s="53"/>
      <c r="G21" s="7"/>
    </row>
    <row r="22" spans="1:10" ht="14.25" customHeight="1" x14ac:dyDescent="0.25">
      <c r="A22" s="21" t="str">
        <f>"Ramp 6 AADT = "</f>
        <v xml:space="preserve">Ramp 6 AADT = </v>
      </c>
      <c r="B22" s="30"/>
      <c r="C22" s="53" t="s">
        <v>167</v>
      </c>
      <c r="D22" s="53"/>
    </row>
    <row r="23" spans="1:10" ht="29.25" customHeight="1" thickBot="1" x14ac:dyDescent="0.3">
      <c r="A23" s="53" t="s">
        <v>125</v>
      </c>
      <c r="B23" s="74" t="s">
        <v>143</v>
      </c>
      <c r="F23" s="53" t="s">
        <v>167</v>
      </c>
    </row>
    <row r="24" spans="1:10" ht="14.45" customHeight="1" thickBot="1" x14ac:dyDescent="0.3">
      <c r="A24" s="70" t="s">
        <v>62</v>
      </c>
      <c r="B24" s="70"/>
      <c r="C24" s="70"/>
      <c r="D24" s="70"/>
      <c r="E24" s="70"/>
      <c r="F24" s="70"/>
      <c r="G24" s="70"/>
      <c r="H24" s="70"/>
      <c r="I24" s="70"/>
      <c r="J24" s="70"/>
    </row>
    <row r="25" spans="1:10" ht="45" customHeight="1" x14ac:dyDescent="0.25">
      <c r="A25" s="116" t="s">
        <v>218</v>
      </c>
      <c r="B25" s="50" t="s">
        <v>51</v>
      </c>
      <c r="C25" s="50" t="s">
        <v>52</v>
      </c>
      <c r="D25" s="19" t="s">
        <v>37</v>
      </c>
      <c r="E25" s="19" t="s">
        <v>53</v>
      </c>
      <c r="F25" s="19" t="s">
        <v>54</v>
      </c>
      <c r="G25" s="19" t="s">
        <v>41</v>
      </c>
      <c r="H25" s="19" t="s">
        <v>42</v>
      </c>
      <c r="I25" s="33"/>
    </row>
    <row r="26" spans="1:10" ht="14.45" customHeight="1" x14ac:dyDescent="0.25">
      <c r="A26" s="1" t="s">
        <v>225</v>
      </c>
      <c r="B26" s="103">
        <f t="shared" ref="B26:H26" si="0">MAX(B27-1.96*SQRT(B27*(1+B50*B27)),0)</f>
        <v>0</v>
      </c>
      <c r="C26" s="103">
        <f t="shared" si="0"/>
        <v>0</v>
      </c>
      <c r="D26" s="103">
        <f t="shared" si="0"/>
        <v>0</v>
      </c>
      <c r="E26" s="103">
        <f t="shared" si="0"/>
        <v>0</v>
      </c>
      <c r="F26" s="103">
        <f t="shared" si="0"/>
        <v>0</v>
      </c>
      <c r="G26" s="103">
        <f t="shared" si="0"/>
        <v>0</v>
      </c>
      <c r="H26" s="103">
        <f t="shared" si="0"/>
        <v>0</v>
      </c>
    </row>
    <row r="27" spans="1:10" ht="14.45" customHeight="1" x14ac:dyDescent="0.25">
      <c r="A27" s="1" t="s">
        <v>157</v>
      </c>
      <c r="B27" s="104">
        <f t="shared" ref="B27:H27" si="1">PRODUCT(B41:B49)</f>
        <v>19.736741452706379</v>
      </c>
      <c r="C27" s="104">
        <f t="shared" si="1"/>
        <v>15.516003064157426</v>
      </c>
      <c r="D27" s="104">
        <f t="shared" si="1"/>
        <v>15.736021540600465</v>
      </c>
      <c r="E27" s="104">
        <f t="shared" si="1"/>
        <v>20.949643545790661</v>
      </c>
      <c r="F27" s="104">
        <f t="shared" si="1"/>
        <v>17.111001713715208</v>
      </c>
      <c r="G27" s="104">
        <f t="shared" si="1"/>
        <v>16.378291922841711</v>
      </c>
      <c r="H27" s="104">
        <f t="shared" si="1"/>
        <v>17.169396112116985</v>
      </c>
    </row>
    <row r="28" spans="1:10" ht="14.45" customHeight="1" thickBot="1" x14ac:dyDescent="0.3">
      <c r="A28" s="71" t="s">
        <v>226</v>
      </c>
      <c r="B28" s="105">
        <f t="shared" ref="B28:H28" si="2">B27+1.96*SQRT(B27*(1+B50*B27))</f>
        <v>41.282207035365502</v>
      </c>
      <c r="C28" s="105">
        <f t="shared" si="2"/>
        <v>32.826125079187008</v>
      </c>
      <c r="D28" s="105">
        <f t="shared" si="2"/>
        <v>33.267171693251782</v>
      </c>
      <c r="E28" s="105">
        <f t="shared" si="2"/>
        <v>43.710776294860729</v>
      </c>
      <c r="F28" s="105">
        <f t="shared" si="2"/>
        <v>36.022736879312902</v>
      </c>
      <c r="G28" s="105">
        <f t="shared" si="2"/>
        <v>34.554474605363623</v>
      </c>
      <c r="H28" s="105">
        <f t="shared" si="2"/>
        <v>36.139739160139911</v>
      </c>
    </row>
    <row r="29" spans="1:10" ht="14.45" customHeight="1" thickTop="1" x14ac:dyDescent="0.25">
      <c r="A29" s="1" t="s">
        <v>225</v>
      </c>
      <c r="B29" s="106">
        <f>MAX(B30-1.96*SQRT(B30*(1+KABC!B37*B30)),0)</f>
        <v>0</v>
      </c>
      <c r="C29" s="106">
        <f>MAX(C30-1.96*SQRT(C30*(1+KABC!C37*C30)),0)</f>
        <v>0</v>
      </c>
      <c r="D29" s="106">
        <f>MAX(D30-1.96*SQRT(D30*(1+KABC!D37*D30)),0)</f>
        <v>0</v>
      </c>
      <c r="E29" s="106">
        <f>MAX(E30-1.96*SQRT(E30*(1+KABC!E37*E30)),0)</f>
        <v>0</v>
      </c>
      <c r="F29" s="106">
        <f>MAX(F30-1.96*SQRT(F30*(1+KABC!F37*F30)),0)</f>
        <v>0</v>
      </c>
      <c r="G29" s="106">
        <f>MAX(G30-1.96*SQRT(G30*(1+KABC!G37*G30)),0)</f>
        <v>0</v>
      </c>
      <c r="H29" s="106">
        <f>MAX(H30-1.96*SQRT(H30*(1+KABC!H37*H30)),0)</f>
        <v>0</v>
      </c>
    </row>
    <row r="30" spans="1:10" ht="14.45" customHeight="1" x14ac:dyDescent="0.25">
      <c r="A30" s="1" t="s">
        <v>158</v>
      </c>
      <c r="B30" s="107">
        <f>KABC!B18</f>
        <v>6.4698054542482977</v>
      </c>
      <c r="C30" s="107">
        <f>KABC!C18</f>
        <v>4.9514776102903237</v>
      </c>
      <c r="D30" s="107">
        <f>KABC!D18</f>
        <v>5.9561603635505387</v>
      </c>
      <c r="E30" s="107">
        <f>KABC!E18</f>
        <v>7.5791877670159842</v>
      </c>
      <c r="F30" s="107">
        <f>KABC!F18</f>
        <v>7.1204152059467827</v>
      </c>
      <c r="G30" s="107">
        <f>KABC!G18</f>
        <v>4.7659922322277604</v>
      </c>
      <c r="H30" s="107">
        <f>KABC!H18</f>
        <v>3.9828333184131419</v>
      </c>
    </row>
    <row r="31" spans="1:10" ht="14.45" customHeight="1" thickBot="1" x14ac:dyDescent="0.3">
      <c r="A31" s="71" t="s">
        <v>226</v>
      </c>
      <c r="B31" s="108">
        <f>B30+1.96*SQRT(B30*(1+KABC!B37*B30))</f>
        <v>14.457247150149769</v>
      </c>
      <c r="C31" s="108">
        <f>C30+1.96*SQRT(C30*(1+KABC!C37*C30))</f>
        <v>11.419259793705459</v>
      </c>
      <c r="D31" s="108">
        <f>D30+1.96*SQRT(D30*(1+KABC!D37*D30))</f>
        <v>13.431969847723</v>
      </c>
      <c r="E31" s="108">
        <f>E30+1.96*SQRT(E30*(1+KABC!E37*E30))</f>
        <v>16.665544900491952</v>
      </c>
      <c r="F31" s="108">
        <f>F30+1.96*SQRT(F30*(1+KABC!F37*F30))</f>
        <v>15.753206919401183</v>
      </c>
      <c r="G31" s="108">
        <f>G30+1.96*SQRT(G30*(1+KABC!G37*G30))</f>
        <v>11.04633115824285</v>
      </c>
      <c r="H31" s="108">
        <f>H30+1.96*SQRT(H30*(1+KABC!H37*H30))</f>
        <v>9.4654666849672147</v>
      </c>
    </row>
    <row r="32" spans="1:10" ht="14.45" customHeight="1" thickTop="1" x14ac:dyDescent="0.25">
      <c r="A32" s="1" t="s">
        <v>225</v>
      </c>
      <c r="B32" s="106">
        <f>MAX(B33-1.96*SQRT(B27*(1+B50*B27)+B30*(1+KABC!B37*B30)),0)</f>
        <v>3.2281589735296201</v>
      </c>
      <c r="C32" s="106">
        <f>MAX(C33-1.96*SQRT(C27*(1+C50*C27)+C30*(1+KABC!C37*C30)),0)</f>
        <v>1.9885053092573379</v>
      </c>
      <c r="D32" s="106">
        <f>MAX(D33-1.96*SQRT(D27*(1+D50*D27)+D30*(1+KABC!D37*D30)),0)</f>
        <v>2.6336155068993641</v>
      </c>
      <c r="E32" s="106">
        <f>MAX(E33-1.96*SQRT(E27*(1+E50*E27)+E30*(1+KABC!E37*E30)),0)</f>
        <v>4.0210560164265274</v>
      </c>
      <c r="F32" s="106">
        <f>MAX(F33-1.96*SQRT(F27*(1+F50*F27)+F30*(1+KABC!F37*F30)),0)</f>
        <v>3.4425059394881714</v>
      </c>
      <c r="G32" s="106">
        <f>MAX(G33-1.96*SQRT(G27*(1+G50*G27)+G30*(1+KABC!G37*G30)),0)</f>
        <v>1.9136764180781682</v>
      </c>
      <c r="H32" s="106">
        <f>MAX(H33-1.96*SQRT(H27*(1+H50*H27)+H30*(1+KABC!H37*H30)),0)</f>
        <v>1.4055035249091183</v>
      </c>
    </row>
    <row r="33" spans="1:10" ht="14.45" customHeight="1" x14ac:dyDescent="0.25">
      <c r="A33" s="1" t="s">
        <v>159</v>
      </c>
      <c r="B33" s="107">
        <f t="shared" ref="B33:H33" si="3">B27+B30</f>
        <v>26.206546906954678</v>
      </c>
      <c r="C33" s="107">
        <f t="shared" si="3"/>
        <v>20.467480674447749</v>
      </c>
      <c r="D33" s="107">
        <f t="shared" si="3"/>
        <v>21.692181904151003</v>
      </c>
      <c r="E33" s="107">
        <f t="shared" si="3"/>
        <v>28.528831312806645</v>
      </c>
      <c r="F33" s="107">
        <f t="shared" si="3"/>
        <v>24.231416919661989</v>
      </c>
      <c r="G33" s="107">
        <f t="shared" si="3"/>
        <v>21.144284155069471</v>
      </c>
      <c r="H33" s="107">
        <f t="shared" si="3"/>
        <v>21.152229430530127</v>
      </c>
    </row>
    <row r="34" spans="1:10" ht="14.45" customHeight="1" x14ac:dyDescent="0.25">
      <c r="A34" s="1" t="s">
        <v>226</v>
      </c>
      <c r="B34" s="109">
        <f>B33+1.96*SQRT(B27*(1+B50*B27)+B30*(1+KABC!B37*B30))</f>
        <v>49.184934840379739</v>
      </c>
      <c r="C34" s="109">
        <f>C33+1.96*SQRT(C27*(1+C50*C27)+C30*(1+KABC!C37*C30))</f>
        <v>38.946456039638164</v>
      </c>
      <c r="D34" s="109">
        <f>D33+1.96*SQRT(D27*(1+D50*D27)+D30*(1+KABC!D37*D30))</f>
        <v>40.750748301402638</v>
      </c>
      <c r="E34" s="109">
        <f>E33+1.96*SQRT(E27*(1+E50*E27)+E30*(1+KABC!E37*E30))</f>
        <v>53.036606609186762</v>
      </c>
      <c r="F34" s="109">
        <f>F33+1.96*SQRT(F27*(1+F50*F27)+F30*(1+KABC!F37*F30))</f>
        <v>45.020327899835806</v>
      </c>
      <c r="G34" s="109">
        <f>G33+1.96*SQRT(G27*(1+G50*G27)+G30*(1+KABC!G37*G30))</f>
        <v>40.374891892060774</v>
      </c>
      <c r="H34" s="109">
        <f>H33+1.96*SQRT(H27*(1+H50*H27)+H30*(1+KABC!H37*H30))</f>
        <v>40.898955336151133</v>
      </c>
    </row>
    <row r="35" spans="1:10" ht="14.45" customHeight="1" thickBot="1" x14ac:dyDescent="0.3">
      <c r="A35" s="53" t="s">
        <v>124</v>
      </c>
    </row>
    <row r="36" spans="1:10" ht="14.45" customHeight="1" thickBot="1" x14ac:dyDescent="0.3">
      <c r="A36" s="72" t="s">
        <v>63</v>
      </c>
      <c r="B36" s="72"/>
      <c r="C36" s="72"/>
      <c r="D36" s="72"/>
      <c r="E36" s="72"/>
      <c r="F36" s="72"/>
      <c r="G36" s="72"/>
      <c r="H36" s="72"/>
      <c r="I36" s="70"/>
      <c r="J36" s="70"/>
    </row>
    <row r="37" spans="1:10" ht="44.25" customHeight="1" x14ac:dyDescent="0.25">
      <c r="A37" s="116" t="s">
        <v>219</v>
      </c>
      <c r="B37" s="50" t="s">
        <v>51</v>
      </c>
      <c r="C37" s="50" t="s">
        <v>52</v>
      </c>
      <c r="D37" s="50" t="s">
        <v>37</v>
      </c>
      <c r="E37" s="50" t="s">
        <v>53</v>
      </c>
      <c r="F37" s="50" t="s">
        <v>54</v>
      </c>
      <c r="G37" s="50" t="s">
        <v>41</v>
      </c>
      <c r="H37" s="50" t="s">
        <v>42</v>
      </c>
    </row>
    <row r="38" spans="1:10" ht="14.45" customHeight="1" x14ac:dyDescent="0.25">
      <c r="A38" s="1" t="s">
        <v>64</v>
      </c>
      <c r="B38" s="23">
        <f>-6.64154</f>
        <v>-6.64154</v>
      </c>
      <c r="C38" s="23">
        <f>B38-0.24061</f>
        <v>-6.8821500000000002</v>
      </c>
      <c r="D38" s="23">
        <f>B38+3.23307</f>
        <v>-3.4084699999999999</v>
      </c>
      <c r="E38" s="23">
        <f>B38+1.24368</f>
        <v>-5.3978599999999997</v>
      </c>
      <c r="F38" s="23">
        <f>B38+1.24368-0.2024</f>
        <v>-5.6002599999999996</v>
      </c>
      <c r="G38" s="23">
        <f>B38-4.23834</f>
        <v>-10.87988</v>
      </c>
      <c r="H38" s="23">
        <f>B38-2.91812</f>
        <v>-9.5596600000000009</v>
      </c>
    </row>
    <row r="39" spans="1:10" x14ac:dyDescent="0.25">
      <c r="A39" s="1" t="s">
        <v>65</v>
      </c>
      <c r="B39" s="24">
        <v>0.41461999999999999</v>
      </c>
      <c r="C39" s="24">
        <f>B39</f>
        <v>0.41461999999999999</v>
      </c>
      <c r="D39" s="24">
        <f>B39-0.17724</f>
        <v>0.23737999999999998</v>
      </c>
      <c r="E39" s="24">
        <f>B39-0.06066</f>
        <v>0.35396</v>
      </c>
      <c r="F39" s="24">
        <f>B39-0.06066</f>
        <v>0.35396</v>
      </c>
      <c r="G39" s="24">
        <f>B39+0.20758</f>
        <v>0.62219999999999998</v>
      </c>
      <c r="H39" s="24">
        <f>B39+0.14236</f>
        <v>0.55698000000000003</v>
      </c>
    </row>
    <row r="40" spans="1:10" ht="30" customHeight="1" x14ac:dyDescent="0.25">
      <c r="A40" s="45" t="s">
        <v>66</v>
      </c>
      <c r="B40" s="54">
        <v>0.21468999999999999</v>
      </c>
      <c r="C40" s="54">
        <f>B40</f>
        <v>0.21468999999999999</v>
      </c>
      <c r="D40" s="54">
        <f>B40</f>
        <v>0.21468999999999999</v>
      </c>
      <c r="E40" s="54">
        <f>B40</f>
        <v>0.21468999999999999</v>
      </c>
      <c r="F40" s="54">
        <f>B40</f>
        <v>0.21468999999999999</v>
      </c>
      <c r="G40" s="54">
        <f>B40</f>
        <v>0.21468999999999999</v>
      </c>
      <c r="H40" s="54">
        <f>B40</f>
        <v>0.21468999999999999</v>
      </c>
    </row>
    <row r="41" spans="1:10" x14ac:dyDescent="0.25">
      <c r="A41" s="1" t="s">
        <v>227</v>
      </c>
      <c r="B41" s="23">
        <f>EXP(B38)*($B$8/$B$9*$B$12)^B39*($B$10/$B$11)^B40</f>
        <v>19.736741452706379</v>
      </c>
      <c r="C41" s="23">
        <f>EXP(C38)*($C$8/$C$9*$C$12)^C39*($C$10/$C$11)^C40</f>
        <v>15.516003064157426</v>
      </c>
      <c r="D41" s="23">
        <f>EXP(D38)*($D$8/$D$9*$D$12)^D39*($D$10/$D$11)^D40</f>
        <v>15.736021540600465</v>
      </c>
      <c r="E41" s="23">
        <f>EXP(E38)*($E$8/$E$9*$E$12)^E39*($E$10/$E$11)^E40</f>
        <v>20.949643545790661</v>
      </c>
      <c r="F41" s="23">
        <f>EXP(F38)*($F$8/$F$9*$F$12)^F39*($F$10/$F$11)^F40</f>
        <v>17.111001713715208</v>
      </c>
      <c r="G41" s="23">
        <f>EXP(G38)*($G$8/$G$9*$G$12)^G39*($G$10/$G$11)^G40</f>
        <v>16.378291922841711</v>
      </c>
      <c r="H41" s="23">
        <f>EXP(H38)*($H$8/$H$9*$H$12)^H39*($H$10/$H$11)^H40</f>
        <v>17.169396112116985</v>
      </c>
    </row>
    <row r="42" spans="1:10" x14ac:dyDescent="0.25">
      <c r="A42" s="1" t="s">
        <v>68</v>
      </c>
      <c r="B42" s="24">
        <f t="shared" ref="B42:H42" si="4">EXP(0.31714*IF(AND(B9&gt;4,B9&lt;=6),1,0)+0.74563*IF(B9&gt;6,1,0))</f>
        <v>1</v>
      </c>
      <c r="C42" s="24">
        <f t="shared" si="4"/>
        <v>1</v>
      </c>
      <c r="D42" s="24">
        <f t="shared" si="4"/>
        <v>1</v>
      </c>
      <c r="E42" s="24">
        <f t="shared" si="4"/>
        <v>1</v>
      </c>
      <c r="F42" s="24">
        <f t="shared" si="4"/>
        <v>1</v>
      </c>
      <c r="G42" s="24">
        <f t="shared" si="4"/>
        <v>1</v>
      </c>
      <c r="H42" s="24">
        <f t="shared" si="4"/>
        <v>1</v>
      </c>
    </row>
    <row r="43" spans="1:10" x14ac:dyDescent="0.25">
      <c r="A43" s="1" t="s">
        <v>69</v>
      </c>
      <c r="B43" s="24">
        <f t="shared" ref="B43:H43" si="5">EXP(0.19514*IF(B11&gt;4,1,0))</f>
        <v>1</v>
      </c>
      <c r="C43" s="24">
        <f t="shared" si="5"/>
        <v>1</v>
      </c>
      <c r="D43" s="24">
        <f t="shared" si="5"/>
        <v>1</v>
      </c>
      <c r="E43" s="24">
        <f t="shared" si="5"/>
        <v>1</v>
      </c>
      <c r="F43" s="24">
        <f t="shared" si="5"/>
        <v>1</v>
      </c>
      <c r="G43" s="24">
        <f t="shared" si="5"/>
        <v>1</v>
      </c>
      <c r="H43" s="24">
        <f t="shared" si="5"/>
        <v>1</v>
      </c>
    </row>
    <row r="44" spans="1:10" x14ac:dyDescent="0.25">
      <c r="A44" s="1" t="s">
        <v>70</v>
      </c>
      <c r="B44" s="24">
        <f t="shared" ref="B44:H44" si="6">EXP(B4*0.23213)</f>
        <v>1</v>
      </c>
      <c r="C44" s="24">
        <f t="shared" si="6"/>
        <v>1</v>
      </c>
      <c r="D44" s="24">
        <f t="shared" si="6"/>
        <v>1</v>
      </c>
      <c r="E44" s="24">
        <f t="shared" si="6"/>
        <v>1</v>
      </c>
      <c r="F44" s="24">
        <f t="shared" si="6"/>
        <v>1</v>
      </c>
      <c r="G44" s="24">
        <f t="shared" si="6"/>
        <v>1</v>
      </c>
      <c r="H44" s="24">
        <f t="shared" si="6"/>
        <v>1</v>
      </c>
    </row>
    <row r="45" spans="1:10" x14ac:dyDescent="0.25">
      <c r="A45" s="1" t="s">
        <v>71</v>
      </c>
      <c r="B45" s="24">
        <f t="shared" ref="B45:H45" si="7">EXP(B5*0.11713)</f>
        <v>1</v>
      </c>
      <c r="C45" s="24">
        <f t="shared" si="7"/>
        <v>1</v>
      </c>
      <c r="D45" s="24">
        <f t="shared" si="7"/>
        <v>1</v>
      </c>
      <c r="E45" s="24">
        <f t="shared" si="7"/>
        <v>1</v>
      </c>
      <c r="F45" s="24">
        <f t="shared" si="7"/>
        <v>1</v>
      </c>
      <c r="G45" s="24">
        <f t="shared" si="7"/>
        <v>1</v>
      </c>
      <c r="H45" s="24">
        <f t="shared" si="7"/>
        <v>1</v>
      </c>
    </row>
    <row r="46" spans="1:10" x14ac:dyDescent="0.25">
      <c r="A46" s="1" t="s">
        <v>72</v>
      </c>
      <c r="B46" s="24">
        <f t="shared" ref="B46:H46" si="8">EXP(B6*0.19339)</f>
        <v>1</v>
      </c>
      <c r="C46" s="24">
        <f t="shared" si="8"/>
        <v>1</v>
      </c>
      <c r="D46" s="24">
        <f t="shared" si="8"/>
        <v>1</v>
      </c>
      <c r="E46" s="24">
        <f t="shared" si="8"/>
        <v>1</v>
      </c>
      <c r="F46" s="24">
        <f t="shared" si="8"/>
        <v>1</v>
      </c>
      <c r="G46" s="24">
        <f t="shared" si="8"/>
        <v>1</v>
      </c>
      <c r="H46" s="24">
        <f t="shared" si="8"/>
        <v>1</v>
      </c>
    </row>
    <row r="47" spans="1:10" x14ac:dyDescent="0.25">
      <c r="A47" s="1" t="s">
        <v>73</v>
      </c>
      <c r="B47" s="24">
        <f t="shared" ref="B47:H47" si="9">EXP(B7*0.23391)</f>
        <v>1</v>
      </c>
      <c r="C47" s="24">
        <f t="shared" si="9"/>
        <v>1</v>
      </c>
      <c r="D47" s="24">
        <f t="shared" si="9"/>
        <v>1</v>
      </c>
      <c r="E47" s="24">
        <f t="shared" si="9"/>
        <v>1</v>
      </c>
      <c r="F47" s="24">
        <f t="shared" si="9"/>
        <v>1</v>
      </c>
      <c r="G47" s="24">
        <f t="shared" si="9"/>
        <v>1</v>
      </c>
      <c r="H47" s="24">
        <f t="shared" si="9"/>
        <v>1</v>
      </c>
    </row>
    <row r="48" spans="1:10" x14ac:dyDescent="0.25">
      <c r="A48" s="1" t="s">
        <v>74</v>
      </c>
      <c r="B48" s="24">
        <f t="shared" ref="B48:H48" si="10">EXP(B13*-0.20648)</f>
        <v>1</v>
      </c>
      <c r="C48" s="24">
        <f t="shared" si="10"/>
        <v>1</v>
      </c>
      <c r="D48" s="24">
        <f t="shared" si="10"/>
        <v>1</v>
      </c>
      <c r="E48" s="24">
        <f t="shared" si="10"/>
        <v>1</v>
      </c>
      <c r="F48" s="24">
        <f t="shared" si="10"/>
        <v>1</v>
      </c>
      <c r="G48" s="24">
        <f t="shared" si="10"/>
        <v>1</v>
      </c>
      <c r="H48" s="24">
        <f t="shared" si="10"/>
        <v>1</v>
      </c>
    </row>
    <row r="49" spans="1:10" x14ac:dyDescent="0.25">
      <c r="A49" s="1" t="s">
        <v>75</v>
      </c>
      <c r="B49" s="25">
        <f t="shared" ref="B49:H49" si="11">EXP(B14*-0.03765)</f>
        <v>1</v>
      </c>
      <c r="C49" s="25">
        <f t="shared" si="11"/>
        <v>1</v>
      </c>
      <c r="D49" s="25">
        <f t="shared" si="11"/>
        <v>1</v>
      </c>
      <c r="E49" s="25">
        <f t="shared" si="11"/>
        <v>1</v>
      </c>
      <c r="F49" s="25">
        <f t="shared" si="11"/>
        <v>1</v>
      </c>
      <c r="G49" s="25">
        <f t="shared" si="11"/>
        <v>1</v>
      </c>
      <c r="H49" s="25">
        <f t="shared" si="11"/>
        <v>1</v>
      </c>
    </row>
    <row r="50" spans="1:10" customFormat="1" ht="30" customHeight="1" x14ac:dyDescent="0.25">
      <c r="A50" t="s">
        <v>76</v>
      </c>
      <c r="B50" s="55">
        <f>1/3.853</f>
        <v>0.2595380223202699</v>
      </c>
      <c r="C50" s="55">
        <f t="shared" ref="C50:H50" si="12">1/3.853</f>
        <v>0.2595380223202699</v>
      </c>
      <c r="D50" s="55">
        <f t="shared" si="12"/>
        <v>0.2595380223202699</v>
      </c>
      <c r="E50" s="55">
        <f t="shared" si="12"/>
        <v>0.2595380223202699</v>
      </c>
      <c r="F50" s="55">
        <f t="shared" si="12"/>
        <v>0.2595380223202699</v>
      </c>
      <c r="G50" s="55">
        <f t="shared" si="12"/>
        <v>0.2595380223202699</v>
      </c>
      <c r="H50" s="55">
        <f t="shared" si="12"/>
        <v>0.2595380223202699</v>
      </c>
    </row>
    <row r="51" spans="1:10" ht="15.75" thickBot="1" x14ac:dyDescent="0.3">
      <c r="A51" s="53" t="s">
        <v>126</v>
      </c>
      <c r="H51" s="3"/>
    </row>
    <row r="52" spans="1:10" ht="14.45" customHeight="1" thickBot="1" x14ac:dyDescent="0.3">
      <c r="A52" s="73" t="s">
        <v>77</v>
      </c>
      <c r="B52" s="73"/>
      <c r="C52" s="73"/>
      <c r="D52" s="73"/>
      <c r="E52" s="73"/>
      <c r="F52" s="73"/>
      <c r="G52" s="73"/>
      <c r="H52" s="73"/>
      <c r="I52" s="73"/>
      <c r="J52" s="73"/>
    </row>
    <row r="53" spans="1:10" ht="30.75" customHeight="1" x14ac:dyDescent="0.25">
      <c r="A53" s="56" t="s">
        <v>78</v>
      </c>
    </row>
    <row r="54" spans="1:10" ht="44.25" customHeight="1" x14ac:dyDescent="0.25">
      <c r="A54" s="116" t="s">
        <v>220</v>
      </c>
      <c r="B54" s="57" t="s">
        <v>82</v>
      </c>
      <c r="C54" s="50" t="s">
        <v>79</v>
      </c>
      <c r="D54" s="50" t="s">
        <v>52</v>
      </c>
      <c r="E54" s="57" t="s">
        <v>37</v>
      </c>
      <c r="F54" s="50" t="s">
        <v>80</v>
      </c>
      <c r="G54" s="50" t="s">
        <v>81</v>
      </c>
      <c r="H54" s="57" t="s">
        <v>41</v>
      </c>
      <c r="I54" s="57" t="s">
        <v>42</v>
      </c>
    </row>
    <row r="55" spans="1:10" x14ac:dyDescent="0.25">
      <c r="A55" s="1" t="s">
        <v>160</v>
      </c>
      <c r="B55" s="9">
        <v>5000</v>
      </c>
      <c r="C55" s="9">
        <v>23100</v>
      </c>
      <c r="D55" s="9">
        <v>5000</v>
      </c>
      <c r="E55" s="9">
        <v>29000</v>
      </c>
      <c r="F55" s="9">
        <v>5500</v>
      </c>
      <c r="G55" s="9">
        <v>6400</v>
      </c>
      <c r="H55" s="9">
        <v>21000</v>
      </c>
      <c r="I55" s="9">
        <v>17000</v>
      </c>
    </row>
    <row r="56" spans="1:10" x14ac:dyDescent="0.25">
      <c r="A56" s="1" t="s">
        <v>163</v>
      </c>
      <c r="B56" s="11">
        <v>210000</v>
      </c>
      <c r="C56" s="11">
        <v>236000</v>
      </c>
      <c r="D56" s="11">
        <v>94600</v>
      </c>
      <c r="E56" s="11">
        <v>191000</v>
      </c>
      <c r="F56" s="11">
        <v>300000</v>
      </c>
      <c r="G56" s="11">
        <v>144000</v>
      </c>
      <c r="H56" s="11">
        <v>261000</v>
      </c>
      <c r="I56" s="11">
        <v>207300</v>
      </c>
    </row>
    <row r="57" spans="1:10" x14ac:dyDescent="0.25">
      <c r="A57" s="1" t="s">
        <v>228</v>
      </c>
      <c r="B57" s="4">
        <v>350</v>
      </c>
      <c r="C57" s="9">
        <v>11000</v>
      </c>
      <c r="D57" s="4">
        <v>750</v>
      </c>
      <c r="E57" s="9">
        <v>2000</v>
      </c>
      <c r="F57" s="4">
        <v>200</v>
      </c>
      <c r="G57" s="9">
        <v>200</v>
      </c>
      <c r="H57" s="9">
        <v>3700</v>
      </c>
      <c r="I57" s="9">
        <v>3200</v>
      </c>
    </row>
    <row r="58" spans="1:10" x14ac:dyDescent="0.25">
      <c r="A58" s="1" t="s">
        <v>229</v>
      </c>
      <c r="B58" s="11">
        <v>40500</v>
      </c>
      <c r="C58" s="11">
        <v>52900</v>
      </c>
      <c r="D58" s="11">
        <v>22500</v>
      </c>
      <c r="E58" s="11">
        <v>47000</v>
      </c>
      <c r="F58" s="11">
        <v>57000</v>
      </c>
      <c r="G58" s="11">
        <v>68000</v>
      </c>
      <c r="H58" s="11">
        <v>64000</v>
      </c>
      <c r="I58" s="11">
        <v>55000</v>
      </c>
    </row>
    <row r="59" spans="1:10" x14ac:dyDescent="0.25">
      <c r="A59" s="1" t="s">
        <v>161</v>
      </c>
      <c r="B59" s="9">
        <v>100</v>
      </c>
      <c r="C59" s="9">
        <v>6800</v>
      </c>
      <c r="D59" s="9">
        <v>850</v>
      </c>
      <c r="E59" s="9">
        <v>2000</v>
      </c>
      <c r="F59" s="9">
        <v>200</v>
      </c>
      <c r="G59" s="9">
        <v>50</v>
      </c>
      <c r="H59" s="9">
        <v>3100</v>
      </c>
      <c r="I59" s="9">
        <v>4000</v>
      </c>
    </row>
    <row r="60" spans="1:10" x14ac:dyDescent="0.25">
      <c r="A60" s="1" t="s">
        <v>164</v>
      </c>
      <c r="B60" s="11">
        <v>33400</v>
      </c>
      <c r="C60" s="11">
        <v>25500</v>
      </c>
      <c r="D60" s="11">
        <v>20400</v>
      </c>
      <c r="E60" s="11">
        <v>38500</v>
      </c>
      <c r="F60" s="11">
        <v>29100</v>
      </c>
      <c r="G60" s="11">
        <v>34400</v>
      </c>
      <c r="H60" s="11">
        <v>70000</v>
      </c>
      <c r="I60" s="11">
        <v>36500</v>
      </c>
    </row>
    <row r="61" spans="1:10" x14ac:dyDescent="0.25">
      <c r="A61" s="1" t="s">
        <v>162</v>
      </c>
      <c r="B61" s="9">
        <v>125</v>
      </c>
      <c r="C61" s="9">
        <v>4250</v>
      </c>
      <c r="D61" s="9">
        <v>800</v>
      </c>
      <c r="E61" s="9">
        <v>2000</v>
      </c>
      <c r="F61" s="9">
        <v>175</v>
      </c>
      <c r="G61" s="9">
        <v>50</v>
      </c>
      <c r="H61" s="9">
        <v>3200</v>
      </c>
      <c r="I61" s="9">
        <v>4500</v>
      </c>
    </row>
    <row r="62" spans="1:10" x14ac:dyDescent="0.25">
      <c r="A62" s="1" t="s">
        <v>165</v>
      </c>
      <c r="B62" s="9">
        <v>24500</v>
      </c>
      <c r="C62" s="9">
        <v>22500</v>
      </c>
      <c r="D62" s="9">
        <v>20900</v>
      </c>
      <c r="E62" s="9">
        <v>45000</v>
      </c>
      <c r="F62" s="9">
        <v>27200</v>
      </c>
      <c r="G62" s="9">
        <v>39600</v>
      </c>
      <c r="H62" s="9">
        <v>75000</v>
      </c>
      <c r="I62" s="9">
        <v>36700</v>
      </c>
    </row>
    <row r="63" spans="1:10" x14ac:dyDescent="0.25">
      <c r="A63" s="53" t="s">
        <v>127</v>
      </c>
      <c r="B63" s="9"/>
      <c r="C63" s="9"/>
      <c r="D63" s="9"/>
      <c r="E63" s="9"/>
      <c r="F63" s="9"/>
      <c r="G63" s="9"/>
      <c r="H63" s="9"/>
      <c r="I63" s="9"/>
    </row>
  </sheetData>
  <conditionalFormatting sqref="B4:H7">
    <cfRule type="cellIs" dxfId="121" priority="5" operator="between">
      <formula>0.1</formula>
      <formula>0.9</formula>
    </cfRule>
    <cfRule type="cellIs" dxfId="120" priority="6" operator="greaterThan">
      <formula>1</formula>
    </cfRule>
    <cfRule type="cellIs" dxfId="119" priority="7" operator="lessThan">
      <formula>0</formula>
    </cfRule>
  </conditionalFormatting>
  <conditionalFormatting sqref="B13:H13">
    <cfRule type="cellIs" dxfId="118" priority="3" operator="lessThan">
      <formula>0</formula>
    </cfRule>
    <cfRule type="cellIs" dxfId="117" priority="4" operator="greaterThan">
      <formula>1.15</formula>
    </cfRule>
  </conditionalFormatting>
  <conditionalFormatting sqref="B17:B22">
    <cfRule type="containsBlanks" dxfId="116" priority="8" stopIfTrue="1">
      <formula>LEN(TRIM(B17))=0</formula>
    </cfRule>
    <cfRule type="cellIs" dxfId="115" priority="9" operator="equal">
      <formula>0</formula>
    </cfRule>
  </conditionalFormatting>
  <pageMargins left="0.7" right="0.7" top="0.75" bottom="0.75" header="0.3" footer="0.3"/>
  <pageSetup scale="73" fitToHeight="0" orientation="landscape" r:id="rId1"/>
  <colBreaks count="1" manualBreakCount="1">
    <brk id="10" max="79" man="1"/>
  </colBreaks>
  <drawing r:id="rId2"/>
  <legacyDrawing r:id="rId3"/>
  <tableParts count="4">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3"/>
  <sheetViews>
    <sheetView topLeftCell="A17" zoomScaleNormal="100" zoomScaleSheetLayoutView="100" workbookViewId="0">
      <selection activeCell="A17" sqref="A17"/>
    </sheetView>
  </sheetViews>
  <sheetFormatPr defaultColWidth="0" defaultRowHeight="15" zeroHeight="1" x14ac:dyDescent="0.25"/>
  <cols>
    <col min="1" max="1" width="50.5703125" style="1" customWidth="1"/>
    <col min="2" max="8" width="16.5703125" style="1" customWidth="1"/>
    <col min="9" max="9" width="9.42578125" style="1" hidden="1" customWidth="1"/>
    <col min="10" max="10" width="3.85546875" style="1" hidden="1" customWidth="1"/>
    <col min="11" max="11" width="9.42578125" style="1" hidden="1" customWidth="1"/>
    <col min="12" max="16384" width="8.85546875" style="1" hidden="1"/>
  </cols>
  <sheetData>
    <row r="1" spans="1:11" ht="39.75" customHeight="1" thickBot="1" x14ac:dyDescent="0.3">
      <c r="A1" s="78" t="s">
        <v>83</v>
      </c>
    </row>
    <row r="2" spans="1:11" ht="18" thickBot="1" x14ac:dyDescent="0.3">
      <c r="A2" s="76" t="s">
        <v>84</v>
      </c>
      <c r="B2" s="75"/>
      <c r="C2" s="75"/>
      <c r="D2" s="75"/>
      <c r="E2" s="75"/>
      <c r="F2" s="75"/>
      <c r="G2" s="75"/>
      <c r="H2" s="75"/>
      <c r="I2" s="75"/>
      <c r="J2" s="75"/>
      <c r="K2" s="75"/>
    </row>
    <row r="3" spans="1:11" ht="30.75" thickBot="1" x14ac:dyDescent="0.3">
      <c r="A3" s="116" t="s">
        <v>217</v>
      </c>
      <c r="B3" s="50" t="s">
        <v>51</v>
      </c>
      <c r="C3" s="50" t="s">
        <v>52</v>
      </c>
      <c r="D3" s="50" t="s">
        <v>37</v>
      </c>
      <c r="E3" s="50" t="s">
        <v>53</v>
      </c>
      <c r="F3" s="50" t="s">
        <v>54</v>
      </c>
      <c r="G3" s="50" t="s">
        <v>41</v>
      </c>
      <c r="H3" s="50" t="s">
        <v>42</v>
      </c>
      <c r="I3" s="17"/>
      <c r="J3" s="17"/>
      <c r="K3" s="17"/>
    </row>
    <row r="4" spans="1:11" x14ac:dyDescent="0.25">
      <c r="A4" s="1" t="s">
        <v>144</v>
      </c>
      <c r="B4" s="83">
        <f>PDO!B4</f>
        <v>0</v>
      </c>
      <c r="C4" s="83">
        <f>PDO!C4</f>
        <v>0</v>
      </c>
      <c r="D4" s="83">
        <f>PDO!D4</f>
        <v>0</v>
      </c>
      <c r="E4" s="83">
        <f>PDO!E4</f>
        <v>0</v>
      </c>
      <c r="F4" s="83">
        <f>PDO!F4</f>
        <v>0</v>
      </c>
      <c r="G4" s="83">
        <f>PDO!G4</f>
        <v>0</v>
      </c>
      <c r="H4" s="83">
        <f>PDO!H4</f>
        <v>0</v>
      </c>
      <c r="J4" s="4"/>
    </row>
    <row r="5" spans="1:11" x14ac:dyDescent="0.25">
      <c r="A5" s="1" t="s">
        <v>150</v>
      </c>
      <c r="B5" s="84">
        <f>PDO!B5</f>
        <v>0</v>
      </c>
      <c r="C5" s="84">
        <f>PDO!C5</f>
        <v>0</v>
      </c>
      <c r="D5" s="84">
        <f>PDO!D5</f>
        <v>0</v>
      </c>
      <c r="E5" s="84">
        <f>PDO!E5</f>
        <v>0</v>
      </c>
      <c r="F5" s="84">
        <f>PDO!F5</f>
        <v>0</v>
      </c>
      <c r="G5" s="84">
        <f>PDO!G5</f>
        <v>0</v>
      </c>
      <c r="H5" s="84">
        <f>PDO!H5</f>
        <v>0</v>
      </c>
      <c r="J5" s="4"/>
    </row>
    <row r="6" spans="1:11" ht="30" x14ac:dyDescent="0.25">
      <c r="A6" s="2" t="s">
        <v>230</v>
      </c>
      <c r="B6" s="84">
        <f>PDO!B6</f>
        <v>0</v>
      </c>
      <c r="C6" s="84">
        <f>PDO!C6</f>
        <v>0</v>
      </c>
      <c r="D6" s="84">
        <f>PDO!D6</f>
        <v>0</v>
      </c>
      <c r="E6" s="84">
        <f>PDO!E6</f>
        <v>0</v>
      </c>
      <c r="F6" s="84">
        <f>PDO!F6</f>
        <v>0</v>
      </c>
      <c r="G6" s="84">
        <f>PDO!G6</f>
        <v>0</v>
      </c>
      <c r="H6" s="84">
        <f>PDO!H6</f>
        <v>0</v>
      </c>
      <c r="J6" s="4"/>
    </row>
    <row r="7" spans="1:11" x14ac:dyDescent="0.25">
      <c r="A7" s="1" t="s">
        <v>146</v>
      </c>
      <c r="B7" s="84">
        <f>PDO!B7</f>
        <v>0</v>
      </c>
      <c r="C7" s="84">
        <f>PDO!C7</f>
        <v>0</v>
      </c>
      <c r="D7" s="84">
        <f>PDO!D7</f>
        <v>0</v>
      </c>
      <c r="E7" s="84">
        <f>PDO!E7</f>
        <v>0</v>
      </c>
      <c r="F7" s="84">
        <f>PDO!F7</f>
        <v>0</v>
      </c>
      <c r="G7" s="84">
        <f>PDO!G7</f>
        <v>0</v>
      </c>
      <c r="H7" s="84">
        <f>PDO!H7</f>
        <v>0</v>
      </c>
      <c r="J7" s="4"/>
    </row>
    <row r="8" spans="1:11" x14ac:dyDescent="0.25">
      <c r="A8" s="1" t="s">
        <v>147</v>
      </c>
      <c r="B8" s="85">
        <f>PDO!B8</f>
        <v>60000</v>
      </c>
      <c r="C8" s="85">
        <f>PDO!C8</f>
        <v>60000</v>
      </c>
      <c r="D8" s="85">
        <f>PDO!D8</f>
        <v>60000</v>
      </c>
      <c r="E8" s="85">
        <f>PDO!E8</f>
        <v>60000</v>
      </c>
      <c r="F8" s="85">
        <f>PDO!F8</f>
        <v>60000</v>
      </c>
      <c r="G8" s="85">
        <f>PDO!G8</f>
        <v>60000</v>
      </c>
      <c r="H8" s="85">
        <f>PDO!H8</f>
        <v>60000</v>
      </c>
      <c r="J8" s="4"/>
    </row>
    <row r="9" spans="1:11" x14ac:dyDescent="0.25">
      <c r="A9" s="1" t="s">
        <v>231</v>
      </c>
      <c r="B9" s="84">
        <f>PDO!B9</f>
        <v>4</v>
      </c>
      <c r="C9" s="84">
        <f>PDO!C9</f>
        <v>4</v>
      </c>
      <c r="D9" s="84">
        <f>PDO!D9</f>
        <v>4</v>
      </c>
      <c r="E9" s="84">
        <f>PDO!E9</f>
        <v>4</v>
      </c>
      <c r="F9" s="84">
        <f>PDO!F9</f>
        <v>4</v>
      </c>
      <c r="G9" s="84">
        <f>PDO!G9</f>
        <v>4</v>
      </c>
      <c r="H9" s="84">
        <f>PDO!H9</f>
        <v>4</v>
      </c>
      <c r="J9" s="4"/>
    </row>
    <row r="10" spans="1:11" x14ac:dyDescent="0.25">
      <c r="A10" s="1" t="s">
        <v>148</v>
      </c>
      <c r="B10" s="85">
        <f>PDO!B10</f>
        <v>5000</v>
      </c>
      <c r="C10" s="85">
        <f>PDO!C10</f>
        <v>5000</v>
      </c>
      <c r="D10" s="85">
        <f>PDO!D10</f>
        <v>5000</v>
      </c>
      <c r="E10" s="85">
        <f>PDO!E10</f>
        <v>5000</v>
      </c>
      <c r="F10" s="85">
        <f>PDO!F10</f>
        <v>5000</v>
      </c>
      <c r="G10" s="85">
        <f>PDO!G10</f>
        <v>5000</v>
      </c>
      <c r="H10" s="85">
        <f>PDO!H10</f>
        <v>5000</v>
      </c>
      <c r="J10" s="4"/>
    </row>
    <row r="11" spans="1:11" x14ac:dyDescent="0.25">
      <c r="A11" s="1" t="s">
        <v>232</v>
      </c>
      <c r="B11" s="84">
        <f>PDO!B11</f>
        <v>4</v>
      </c>
      <c r="C11" s="84">
        <f>PDO!C11</f>
        <v>4</v>
      </c>
      <c r="D11" s="84">
        <f>PDO!D11</f>
        <v>4</v>
      </c>
      <c r="E11" s="84">
        <f>PDO!E11</f>
        <v>4</v>
      </c>
      <c r="F11" s="84">
        <f>PDO!F11</f>
        <v>4</v>
      </c>
      <c r="G11" s="84">
        <f>PDO!G11</f>
        <v>4</v>
      </c>
      <c r="H11" s="84">
        <f>PDO!H11</f>
        <v>4</v>
      </c>
      <c r="J11" s="4"/>
    </row>
    <row r="12" spans="1:11" x14ac:dyDescent="0.25">
      <c r="A12" s="1" t="s">
        <v>149</v>
      </c>
      <c r="B12" s="85">
        <f>PDO!B12</f>
        <v>20000</v>
      </c>
      <c r="C12" s="85">
        <f>PDO!C12</f>
        <v>20000</v>
      </c>
      <c r="D12" s="85">
        <f>PDO!D12</f>
        <v>20000</v>
      </c>
      <c r="E12" s="85">
        <f>PDO!E12</f>
        <v>20000</v>
      </c>
      <c r="F12" s="85">
        <f>PDO!F12</f>
        <v>20000</v>
      </c>
      <c r="G12" s="85">
        <f>PDO!G12</f>
        <v>20000</v>
      </c>
      <c r="H12" s="85">
        <f>PDO!H12</f>
        <v>20000</v>
      </c>
      <c r="J12" s="4"/>
    </row>
    <row r="13" spans="1:11" x14ac:dyDescent="0.25">
      <c r="A13" s="1" t="s">
        <v>233</v>
      </c>
      <c r="B13" s="84">
        <f>PDO!B13</f>
        <v>0</v>
      </c>
      <c r="C13" s="84">
        <f>PDO!C13</f>
        <v>0</v>
      </c>
      <c r="D13" s="84">
        <f>PDO!D13</f>
        <v>0</v>
      </c>
      <c r="E13" s="84">
        <f>PDO!E13</f>
        <v>0</v>
      </c>
      <c r="F13" s="84">
        <f>PDO!F13</f>
        <v>0</v>
      </c>
      <c r="G13" s="84">
        <f>PDO!G13</f>
        <v>0</v>
      </c>
      <c r="H13" s="84">
        <f>PDO!H13</f>
        <v>0</v>
      </c>
      <c r="J13" s="4"/>
    </row>
    <row r="14" spans="1:11" x14ac:dyDescent="0.25">
      <c r="A14" s="1" t="s">
        <v>223</v>
      </c>
      <c r="B14" s="86">
        <f>PDO!B14</f>
        <v>0</v>
      </c>
      <c r="C14" s="86">
        <f>PDO!C14</f>
        <v>0</v>
      </c>
      <c r="D14" s="86">
        <f>PDO!D14</f>
        <v>0</v>
      </c>
      <c r="E14" s="86">
        <f>PDO!E14</f>
        <v>0</v>
      </c>
      <c r="F14" s="86">
        <f>PDO!F14</f>
        <v>0</v>
      </c>
      <c r="G14" s="86">
        <f>PDO!G14</f>
        <v>0</v>
      </c>
      <c r="H14" s="86">
        <f>PDO!H14</f>
        <v>0</v>
      </c>
      <c r="J14" s="4"/>
    </row>
    <row r="15" spans="1:11" ht="27.75" customHeight="1" thickBot="1" x14ac:dyDescent="0.3">
      <c r="A15" s="69" t="s">
        <v>85</v>
      </c>
      <c r="B15" s="52"/>
      <c r="E15" s="8"/>
    </row>
    <row r="16" spans="1:11" ht="28.5" customHeight="1" thickBot="1" x14ac:dyDescent="0.3">
      <c r="A16" s="79" t="s">
        <v>62</v>
      </c>
      <c r="B16" s="60"/>
      <c r="C16" s="60"/>
      <c r="D16" s="60"/>
      <c r="E16" s="60"/>
      <c r="F16" s="60"/>
      <c r="G16" s="60"/>
      <c r="H16" s="60"/>
      <c r="I16" s="61"/>
      <c r="J16" s="61"/>
      <c r="K16" s="61"/>
    </row>
    <row r="17" spans="1:11" ht="51.75" customHeight="1" x14ac:dyDescent="0.25">
      <c r="A17" s="116" t="s">
        <v>234</v>
      </c>
      <c r="B17" s="50" t="s">
        <v>51</v>
      </c>
      <c r="C17" s="50" t="s">
        <v>52</v>
      </c>
      <c r="D17" s="19" t="s">
        <v>37</v>
      </c>
      <c r="E17" s="19" t="s">
        <v>53</v>
      </c>
      <c r="F17" s="19" t="s">
        <v>54</v>
      </c>
      <c r="G17" s="19" t="s">
        <v>41</v>
      </c>
      <c r="H17" s="19" t="s">
        <v>42</v>
      </c>
    </row>
    <row r="18" spans="1:11" ht="15.75" thickBot="1" x14ac:dyDescent="0.3">
      <c r="A18" s="71" t="s">
        <v>151</v>
      </c>
      <c r="B18" s="82">
        <f t="shared" ref="B18:H18" si="0">PRODUCT(B28:B36)</f>
        <v>6.4698054542482977</v>
      </c>
      <c r="C18" s="82">
        <f t="shared" si="0"/>
        <v>4.9514776102903237</v>
      </c>
      <c r="D18" s="82">
        <f t="shared" si="0"/>
        <v>5.9561603635505387</v>
      </c>
      <c r="E18" s="82">
        <f t="shared" si="0"/>
        <v>7.5791877670159842</v>
      </c>
      <c r="F18" s="82">
        <f t="shared" si="0"/>
        <v>7.1204152059467827</v>
      </c>
      <c r="G18" s="82">
        <f t="shared" si="0"/>
        <v>4.7659922322277604</v>
      </c>
      <c r="H18" s="82">
        <f t="shared" si="0"/>
        <v>3.9828333184131419</v>
      </c>
      <c r="J18" s="4"/>
    </row>
    <row r="19" spans="1:11" ht="15.75" thickTop="1" x14ac:dyDescent="0.25">
      <c r="A19" s="1" t="s">
        <v>152</v>
      </c>
      <c r="B19" s="110">
        <f>B18*SDF!B18</f>
        <v>0.34106887411697745</v>
      </c>
      <c r="C19" s="110">
        <f>C18*SDF!B19</f>
        <v>0.82285782511868</v>
      </c>
      <c r="D19" s="110">
        <f>D18*SDF!C18</f>
        <v>0.1536605423311122</v>
      </c>
      <c r="E19" s="110">
        <f>E18*SDF!C19</f>
        <v>0.61639309352949689</v>
      </c>
      <c r="F19" s="110">
        <f>F18*SDF!D18</f>
        <v>0.19680623396697011</v>
      </c>
      <c r="G19" s="110">
        <f>G18*SDF!D19</f>
        <v>0.52126115348489643</v>
      </c>
      <c r="H19" s="110">
        <f>H18*SDF!E18</f>
        <v>0.14587236720290056</v>
      </c>
      <c r="J19" s="4"/>
    </row>
    <row r="20" spans="1:11" x14ac:dyDescent="0.25">
      <c r="A20" s="1" t="s">
        <v>153</v>
      </c>
      <c r="B20" s="111">
        <f>B18*SDF!B19</f>
        <v>1.07518007028039</v>
      </c>
      <c r="C20" s="111">
        <f>C18*SDF!C18</f>
        <v>0.12774114337042811</v>
      </c>
      <c r="D20" s="111">
        <f>D18*SDF!C19</f>
        <v>0.48439703895766367</v>
      </c>
      <c r="E20" s="111">
        <f>E18*SDF!D18</f>
        <v>0.20948657596669004</v>
      </c>
      <c r="F20" s="111">
        <f>F18*SDF!D19</f>
        <v>0.77876665816727753</v>
      </c>
      <c r="G20" s="111">
        <f>G18*SDF!E18</f>
        <v>0.1745557781119233</v>
      </c>
      <c r="H20" s="111">
        <f>H18*SDF!E19</f>
        <v>0.45984572009754821</v>
      </c>
      <c r="J20" s="4"/>
    </row>
    <row r="21" spans="1:11" x14ac:dyDescent="0.25">
      <c r="A21" s="1" t="s">
        <v>154</v>
      </c>
      <c r="B21" s="112">
        <f t="shared" ref="B21:H21" si="1">B18-B19-B20</f>
        <v>5.0535565098509299</v>
      </c>
      <c r="C21" s="112">
        <f t="shared" si="1"/>
        <v>4.0008786418012159</v>
      </c>
      <c r="D21" s="112">
        <f t="shared" si="1"/>
        <v>5.3181027822617635</v>
      </c>
      <c r="E21" s="112">
        <f t="shared" si="1"/>
        <v>6.7533080975197972</v>
      </c>
      <c r="F21" s="112">
        <f t="shared" si="1"/>
        <v>6.1448423138125357</v>
      </c>
      <c r="G21" s="112">
        <f t="shared" si="1"/>
        <v>4.0701753006309405</v>
      </c>
      <c r="H21" s="112">
        <f t="shared" si="1"/>
        <v>3.3771152311126929</v>
      </c>
      <c r="J21" s="4"/>
    </row>
    <row r="22" spans="1:11" ht="15.75" thickBot="1" x14ac:dyDescent="0.3">
      <c r="A22" s="53" t="s">
        <v>124</v>
      </c>
      <c r="B22" s="20"/>
      <c r="C22" s="20"/>
      <c r="D22" s="20"/>
      <c r="E22" s="20"/>
      <c r="F22" s="20"/>
      <c r="G22" s="20"/>
      <c r="H22" s="20"/>
      <c r="J22" s="4"/>
    </row>
    <row r="23" spans="1:11" ht="29.25" customHeight="1" thickBot="1" x14ac:dyDescent="0.3">
      <c r="A23" s="76" t="s">
        <v>63</v>
      </c>
      <c r="B23" s="62"/>
      <c r="C23" s="62"/>
      <c r="D23" s="62"/>
      <c r="E23" s="62"/>
      <c r="F23" s="62"/>
      <c r="G23" s="62"/>
      <c r="H23" s="62"/>
      <c r="I23" s="62"/>
      <c r="J23" s="62"/>
      <c r="K23" s="62"/>
    </row>
    <row r="24" spans="1:11" ht="45" customHeight="1" x14ac:dyDescent="0.25">
      <c r="A24" s="116" t="s">
        <v>219</v>
      </c>
      <c r="B24" s="50" t="s">
        <v>51</v>
      </c>
      <c r="C24" s="50" t="s">
        <v>52</v>
      </c>
      <c r="D24" s="50" t="s">
        <v>37</v>
      </c>
      <c r="E24" s="50" t="s">
        <v>53</v>
      </c>
      <c r="F24" s="50" t="s">
        <v>54</v>
      </c>
      <c r="G24" s="50" t="s">
        <v>41</v>
      </c>
      <c r="H24" s="50" t="s">
        <v>42</v>
      </c>
    </row>
    <row r="25" spans="1:11" x14ac:dyDescent="0.25">
      <c r="A25" s="1" t="s">
        <v>64</v>
      </c>
      <c r="B25" s="24">
        <v>-6.8142399999999999</v>
      </c>
      <c r="C25" s="24">
        <f>B25-0.26746</f>
        <v>-7.0816999999999997</v>
      </c>
      <c r="D25" s="24">
        <f>B25-0.08272</f>
        <v>-6.89696</v>
      </c>
      <c r="E25" s="24">
        <f>B25+0.15826</f>
        <v>-6.6559799999999996</v>
      </c>
      <c r="F25" s="24">
        <f>E25+0.15826-0.2207</f>
        <v>-6.7184199999999992</v>
      </c>
      <c r="G25" s="24">
        <f>B25-5.56274</f>
        <v>-12.37698</v>
      </c>
      <c r="H25" s="24">
        <f>B25-3.06447</f>
        <v>-9.8787099999999999</v>
      </c>
    </row>
    <row r="26" spans="1:11" x14ac:dyDescent="0.25">
      <c r="A26" s="1" t="s">
        <v>65</v>
      </c>
      <c r="B26" s="24">
        <f>0.37572</f>
        <v>0.37572</v>
      </c>
      <c r="C26" s="24">
        <f>B26</f>
        <v>0.37572</v>
      </c>
      <c r="D26" s="24">
        <f>B26</f>
        <v>0.37572</v>
      </c>
      <c r="E26" s="24">
        <f>B26</f>
        <v>0.37572</v>
      </c>
      <c r="F26" s="24">
        <f>B26</f>
        <v>0.37572</v>
      </c>
      <c r="G26" s="24">
        <f>B26+0.21404</f>
        <v>0.58976000000000006</v>
      </c>
      <c r="H26" s="24">
        <f>B26</f>
        <v>0.37572</v>
      </c>
    </row>
    <row r="27" spans="1:11" ht="15.75" thickBot="1" x14ac:dyDescent="0.3">
      <c r="A27" s="80" t="s">
        <v>66</v>
      </c>
      <c r="B27" s="81">
        <f>0.18898</f>
        <v>0.18898000000000001</v>
      </c>
      <c r="C27" s="81">
        <f>B27</f>
        <v>0.18898000000000001</v>
      </c>
      <c r="D27" s="81">
        <f>B27</f>
        <v>0.18898000000000001</v>
      </c>
      <c r="E27" s="81">
        <f>B27</f>
        <v>0.18898000000000001</v>
      </c>
      <c r="F27" s="81">
        <f>B27</f>
        <v>0.18898000000000001</v>
      </c>
      <c r="G27" s="81">
        <f>B27+0.15134</f>
        <v>0.34032000000000001</v>
      </c>
      <c r="H27" s="81">
        <f>B27+0.36171</f>
        <v>0.55069000000000001</v>
      </c>
    </row>
    <row r="28" spans="1:11" x14ac:dyDescent="0.25">
      <c r="A28" s="1" t="s">
        <v>67</v>
      </c>
      <c r="B28" s="23">
        <f>EXP(B25)*($B$8/$B$9*$B$12)^B26*($B$10/$B$11)^B27</f>
        <v>6.4698054542482977</v>
      </c>
      <c r="C28" s="23">
        <f>EXP(C25)*($C$8/$C$9*$C$12)^C26*($C$10/$C$11)^C27</f>
        <v>4.9514776102903237</v>
      </c>
      <c r="D28" s="23">
        <f>EXP(D25)*($D$8/$D$9*$D$12)^D26*($D$10/$D$11)^D27</f>
        <v>5.9561603635505387</v>
      </c>
      <c r="E28" s="23">
        <f>EXP(E25)*($E$8/$E$9*$E$12)^E26*($E$10/$E$11)^E27</f>
        <v>7.5791877670159842</v>
      </c>
      <c r="F28" s="23">
        <f>EXP(F25)*($F$8/$F$9*$F$12)^F26*($F$10/$F$11)^F27</f>
        <v>7.1204152059467827</v>
      </c>
      <c r="G28" s="23">
        <f>EXP(G25)*($G$8/$G$9*$G$12)^G26*($G$10/$G$11)^G27</f>
        <v>4.7659922322277604</v>
      </c>
      <c r="H28" s="23">
        <f>EXP(H25)*($H$8/$H$9*$H$12)^H26*($H$10/$H$11)^H27</f>
        <v>3.9828333184131419</v>
      </c>
    </row>
    <row r="29" spans="1:11" x14ac:dyDescent="0.25">
      <c r="A29" s="1" t="s">
        <v>68</v>
      </c>
      <c r="B29" s="24">
        <f t="shared" ref="B29:H29" si="2">EXP(0.36268*IF(AND(B9&gt;4,B9&lt;=6),1,0)+0.74418*IF(B9&gt;6,1,0))</f>
        <v>1</v>
      </c>
      <c r="C29" s="24">
        <f t="shared" si="2"/>
        <v>1</v>
      </c>
      <c r="D29" s="24">
        <f t="shared" si="2"/>
        <v>1</v>
      </c>
      <c r="E29" s="24">
        <f t="shared" si="2"/>
        <v>1</v>
      </c>
      <c r="F29" s="24">
        <f t="shared" si="2"/>
        <v>1</v>
      </c>
      <c r="G29" s="24">
        <f t="shared" si="2"/>
        <v>1</v>
      </c>
      <c r="H29" s="24">
        <f t="shared" si="2"/>
        <v>1</v>
      </c>
    </row>
    <row r="30" spans="1:11" x14ac:dyDescent="0.25">
      <c r="A30" s="1" t="s">
        <v>69</v>
      </c>
      <c r="B30" s="24">
        <f t="shared" ref="B30:H30" si="3">EXP(0.2265*IF(B11&gt;4,1,0))</f>
        <v>1</v>
      </c>
      <c r="C30" s="24">
        <f t="shared" si="3"/>
        <v>1</v>
      </c>
      <c r="D30" s="24">
        <f t="shared" si="3"/>
        <v>1</v>
      </c>
      <c r="E30" s="24">
        <f t="shared" si="3"/>
        <v>1</v>
      </c>
      <c r="F30" s="24">
        <f t="shared" si="3"/>
        <v>1</v>
      </c>
      <c r="G30" s="24">
        <f t="shared" si="3"/>
        <v>1</v>
      </c>
      <c r="H30" s="24">
        <f t="shared" si="3"/>
        <v>1</v>
      </c>
    </row>
    <row r="31" spans="1:11" x14ac:dyDescent="0.25">
      <c r="A31" s="1" t="s">
        <v>70</v>
      </c>
      <c r="B31" s="24">
        <f t="shared" ref="B31:H31" si="4">EXP(B4*0.36744)</f>
        <v>1</v>
      </c>
      <c r="C31" s="24">
        <f t="shared" si="4"/>
        <v>1</v>
      </c>
      <c r="D31" s="24">
        <f t="shared" si="4"/>
        <v>1</v>
      </c>
      <c r="E31" s="24">
        <f t="shared" si="4"/>
        <v>1</v>
      </c>
      <c r="F31" s="24">
        <f t="shared" si="4"/>
        <v>1</v>
      </c>
      <c r="G31" s="24">
        <f t="shared" si="4"/>
        <v>1</v>
      </c>
      <c r="H31" s="24">
        <f t="shared" si="4"/>
        <v>1</v>
      </c>
    </row>
    <row r="32" spans="1:11" x14ac:dyDescent="0.25">
      <c r="A32" s="1" t="s">
        <v>71</v>
      </c>
      <c r="B32" s="24">
        <f t="shared" ref="B32:H32" si="5">EXP(B5*0.23469)</f>
        <v>1</v>
      </c>
      <c r="C32" s="24">
        <f t="shared" si="5"/>
        <v>1</v>
      </c>
      <c r="D32" s="24">
        <f t="shared" si="5"/>
        <v>1</v>
      </c>
      <c r="E32" s="24">
        <f t="shared" si="5"/>
        <v>1</v>
      </c>
      <c r="F32" s="24">
        <f t="shared" si="5"/>
        <v>1</v>
      </c>
      <c r="G32" s="24">
        <f t="shared" si="5"/>
        <v>1</v>
      </c>
      <c r="H32" s="24">
        <f t="shared" si="5"/>
        <v>1</v>
      </c>
    </row>
    <row r="33" spans="1:8" x14ac:dyDescent="0.25">
      <c r="A33" s="1" t="s">
        <v>72</v>
      </c>
      <c r="B33" s="24">
        <f t="shared" ref="B33:H33" si="6">EXP(B6*0.20591)</f>
        <v>1</v>
      </c>
      <c r="C33" s="24">
        <f t="shared" si="6"/>
        <v>1</v>
      </c>
      <c r="D33" s="24">
        <f t="shared" si="6"/>
        <v>1</v>
      </c>
      <c r="E33" s="24">
        <f t="shared" si="6"/>
        <v>1</v>
      </c>
      <c r="F33" s="24">
        <f t="shared" si="6"/>
        <v>1</v>
      </c>
      <c r="G33" s="24">
        <f t="shared" si="6"/>
        <v>1</v>
      </c>
      <c r="H33" s="24">
        <f t="shared" si="6"/>
        <v>1</v>
      </c>
    </row>
    <row r="34" spans="1:8" x14ac:dyDescent="0.25">
      <c r="A34" s="1" t="s">
        <v>73</v>
      </c>
      <c r="B34" s="24">
        <f t="shared" ref="B34:H34" si="7">EXP(B7*0.28186)</f>
        <v>1</v>
      </c>
      <c r="C34" s="24">
        <f t="shared" si="7"/>
        <v>1</v>
      </c>
      <c r="D34" s="24">
        <f t="shared" si="7"/>
        <v>1</v>
      </c>
      <c r="E34" s="24">
        <f t="shared" si="7"/>
        <v>1</v>
      </c>
      <c r="F34" s="24">
        <f t="shared" si="7"/>
        <v>1</v>
      </c>
      <c r="G34" s="24">
        <f t="shared" si="7"/>
        <v>1</v>
      </c>
      <c r="H34" s="24">
        <f t="shared" si="7"/>
        <v>1</v>
      </c>
    </row>
    <row r="35" spans="1:8" x14ac:dyDescent="0.25">
      <c r="A35" s="1" t="s">
        <v>74</v>
      </c>
      <c r="B35" s="24">
        <f t="shared" ref="B35:H35" si="8">EXP(B13*-0.29868)</f>
        <v>1</v>
      </c>
      <c r="C35" s="24">
        <f t="shared" si="8"/>
        <v>1</v>
      </c>
      <c r="D35" s="24">
        <f t="shared" si="8"/>
        <v>1</v>
      </c>
      <c r="E35" s="24">
        <f t="shared" si="8"/>
        <v>1</v>
      </c>
      <c r="F35" s="24">
        <f t="shared" si="8"/>
        <v>1</v>
      </c>
      <c r="G35" s="24">
        <f t="shared" si="8"/>
        <v>1</v>
      </c>
      <c r="H35" s="24">
        <f t="shared" si="8"/>
        <v>1</v>
      </c>
    </row>
    <row r="36" spans="1:8" ht="15.75" thickBot="1" x14ac:dyDescent="0.3">
      <c r="A36" s="80" t="s">
        <v>75</v>
      </c>
      <c r="B36" s="81">
        <f t="shared" ref="B36:H36" si="9">EXP(B14*-0.05639)</f>
        <v>1</v>
      </c>
      <c r="C36" s="81">
        <f t="shared" si="9"/>
        <v>1</v>
      </c>
      <c r="D36" s="81">
        <f t="shared" si="9"/>
        <v>1</v>
      </c>
      <c r="E36" s="81">
        <f t="shared" si="9"/>
        <v>1</v>
      </c>
      <c r="F36" s="81">
        <f t="shared" si="9"/>
        <v>1</v>
      </c>
      <c r="G36" s="81">
        <f t="shared" si="9"/>
        <v>1</v>
      </c>
      <c r="H36" s="81">
        <f t="shared" si="9"/>
        <v>1</v>
      </c>
    </row>
    <row r="37" spans="1:8" x14ac:dyDescent="0.25">
      <c r="A37" s="1" t="s">
        <v>76</v>
      </c>
      <c r="B37" s="26">
        <f t="shared" ref="B37:H37" si="10">1/4.129</f>
        <v>0.24218939210462584</v>
      </c>
      <c r="C37" s="26">
        <f t="shared" si="10"/>
        <v>0.24218939210462584</v>
      </c>
      <c r="D37" s="26">
        <f t="shared" si="10"/>
        <v>0.24218939210462584</v>
      </c>
      <c r="E37" s="26">
        <f t="shared" si="10"/>
        <v>0.24218939210462584</v>
      </c>
      <c r="F37" s="26">
        <f t="shared" si="10"/>
        <v>0.24218939210462584</v>
      </c>
      <c r="G37" s="26">
        <f t="shared" si="10"/>
        <v>0.24218939210462584</v>
      </c>
      <c r="H37" s="26">
        <f t="shared" si="10"/>
        <v>0.24218939210462584</v>
      </c>
    </row>
    <row r="38" spans="1:8" x14ac:dyDescent="0.25">
      <c r="A38" s="53" t="s">
        <v>142</v>
      </c>
    </row>
    <row r="43" spans="1:8" hidden="1" x14ac:dyDescent="0.25">
      <c r="B43" s="27"/>
    </row>
    <row r="49" s="1" customFormat="1" hidden="1" x14ac:dyDescent="0.25"/>
    <row r="50" s="1" customFormat="1" hidden="1" x14ac:dyDescent="0.25"/>
    <row r="51" s="1" customFormat="1" hidden="1" x14ac:dyDescent="0.25"/>
    <row r="52" s="1" customFormat="1" hidden="1" x14ac:dyDescent="0.25"/>
    <row r="53" s="1" customFormat="1" hidden="1" x14ac:dyDescent="0.25"/>
    <row r="54" s="1" customFormat="1" hidden="1" x14ac:dyDescent="0.25"/>
    <row r="55" s="1" customFormat="1" hidden="1" x14ac:dyDescent="0.25"/>
    <row r="56" s="1" customFormat="1" hidden="1" x14ac:dyDescent="0.25"/>
    <row r="57" s="1" customFormat="1" hidden="1" x14ac:dyDescent="0.25"/>
    <row r="58" s="1" customFormat="1" hidden="1" x14ac:dyDescent="0.25"/>
    <row r="59" s="1" customFormat="1" hidden="1" x14ac:dyDescent="0.25"/>
    <row r="60" s="1" customFormat="1" hidden="1" x14ac:dyDescent="0.25"/>
    <row r="61" s="1" customFormat="1" hidden="1" x14ac:dyDescent="0.25"/>
    <row r="62" s="1" customFormat="1" ht="30.75" hidden="1" customHeight="1" x14ac:dyDescent="0.25"/>
    <row r="63" s="1" customFormat="1" ht="21" hidden="1" customHeight="1" x14ac:dyDescent="0.25"/>
  </sheetData>
  <pageMargins left="0.7" right="0.7" top="0.75" bottom="0.75" header="0.3" footer="0.3"/>
  <pageSetup scale="73" orientation="landscape" r:id="rId1"/>
  <colBreaks count="1" manualBreakCount="1">
    <brk id="11" max="1048575" man="1"/>
  </colBreaks>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7076A-43A3-43F8-9E7B-6281F8E76198}">
  <dimension ref="A1:M43"/>
  <sheetViews>
    <sheetView topLeftCell="A23" zoomScaleNormal="100" zoomScaleSheetLayoutView="100" workbookViewId="0">
      <selection activeCell="A23" sqref="A23"/>
    </sheetView>
  </sheetViews>
  <sheetFormatPr defaultColWidth="0" defaultRowHeight="15" zeroHeight="1" x14ac:dyDescent="0.25"/>
  <cols>
    <col min="1" max="1" width="50.5703125" style="1" customWidth="1"/>
    <col min="2" max="13" width="15.5703125" style="1" customWidth="1"/>
    <col min="14" max="16384" width="2.42578125" style="1" hidden="1"/>
  </cols>
  <sheetData>
    <row r="1" spans="1:13" ht="40.5" customHeight="1" thickBot="1" x14ac:dyDescent="0.3">
      <c r="A1" s="59" t="s">
        <v>86</v>
      </c>
    </row>
    <row r="2" spans="1:13" s="65" customFormat="1" ht="14.45" customHeight="1" thickBot="1" x14ac:dyDescent="0.3">
      <c r="A2" s="76" t="s">
        <v>50</v>
      </c>
      <c r="B2" s="61"/>
      <c r="C2" s="61"/>
      <c r="D2" s="61"/>
      <c r="E2" s="61"/>
      <c r="F2" s="61"/>
      <c r="G2" s="61"/>
      <c r="H2" s="61"/>
      <c r="I2" s="61"/>
      <c r="J2" s="61"/>
      <c r="K2" s="61"/>
      <c r="L2" s="61"/>
      <c r="M2" s="61"/>
    </row>
    <row r="3" spans="1:13" ht="45.75" customHeight="1" thickBot="1" x14ac:dyDescent="0.3">
      <c r="A3" s="116" t="s">
        <v>217</v>
      </c>
      <c r="B3" s="50" t="s">
        <v>51</v>
      </c>
      <c r="C3" s="50" t="s">
        <v>52</v>
      </c>
      <c r="D3" s="19" t="s">
        <v>37</v>
      </c>
      <c r="E3" s="50" t="s">
        <v>87</v>
      </c>
      <c r="F3" s="19" t="s">
        <v>41</v>
      </c>
      <c r="G3" s="19" t="s">
        <v>42</v>
      </c>
      <c r="H3" s="17"/>
      <c r="I3" s="17"/>
    </row>
    <row r="4" spans="1:13" ht="30" x14ac:dyDescent="0.25">
      <c r="A4" s="2" t="s">
        <v>235</v>
      </c>
      <c r="B4" s="58">
        <v>0</v>
      </c>
      <c r="C4" s="58">
        <v>0</v>
      </c>
      <c r="D4" s="58">
        <v>0</v>
      </c>
      <c r="E4" s="58">
        <v>0</v>
      </c>
      <c r="F4" s="58">
        <v>0</v>
      </c>
      <c r="G4" s="58">
        <v>0</v>
      </c>
    </row>
    <row r="5" spans="1:13" ht="30" x14ac:dyDescent="0.25">
      <c r="A5" s="2" t="s">
        <v>236</v>
      </c>
      <c r="B5" s="38">
        <v>0</v>
      </c>
      <c r="C5" s="38">
        <v>0</v>
      </c>
      <c r="D5" s="38">
        <v>0</v>
      </c>
      <c r="E5" s="38">
        <v>0</v>
      </c>
      <c r="F5" s="38">
        <v>0</v>
      </c>
      <c r="G5" s="38">
        <v>0</v>
      </c>
    </row>
    <row r="6" spans="1:13" ht="30" x14ac:dyDescent="0.25">
      <c r="A6" s="2" t="s">
        <v>140</v>
      </c>
      <c r="B6" s="38">
        <v>55</v>
      </c>
      <c r="C6" s="38">
        <v>55</v>
      </c>
      <c r="D6" s="38">
        <v>55</v>
      </c>
      <c r="E6" s="38">
        <v>55</v>
      </c>
      <c r="F6" s="38">
        <v>55</v>
      </c>
      <c r="G6" s="38">
        <v>55</v>
      </c>
    </row>
    <row r="7" spans="1:13" ht="30" x14ac:dyDescent="0.25">
      <c r="A7" s="2" t="s">
        <v>237</v>
      </c>
      <c r="B7" s="38">
        <v>45</v>
      </c>
      <c r="C7" s="38">
        <v>45</v>
      </c>
      <c r="D7" s="38">
        <v>45</v>
      </c>
      <c r="E7" s="38">
        <v>45</v>
      </c>
      <c r="F7" s="38">
        <v>45</v>
      </c>
      <c r="G7" s="38">
        <v>45</v>
      </c>
    </row>
    <row r="8" spans="1:13" ht="45" x14ac:dyDescent="0.25">
      <c r="A8" s="2" t="s">
        <v>238</v>
      </c>
      <c r="B8" s="38">
        <v>0</v>
      </c>
      <c r="C8" s="38">
        <v>0</v>
      </c>
      <c r="D8" s="38">
        <v>0</v>
      </c>
      <c r="E8" s="38">
        <v>0</v>
      </c>
      <c r="F8" s="38">
        <v>0</v>
      </c>
      <c r="G8" s="38">
        <v>0</v>
      </c>
    </row>
    <row r="9" spans="1:13" ht="30" x14ac:dyDescent="0.25">
      <c r="A9" s="2" t="s">
        <v>239</v>
      </c>
      <c r="B9" s="38">
        <v>0</v>
      </c>
      <c r="C9" s="38">
        <v>0</v>
      </c>
      <c r="D9" s="38">
        <v>0</v>
      </c>
      <c r="E9" s="38">
        <v>0</v>
      </c>
      <c r="F9" s="38">
        <v>0</v>
      </c>
      <c r="G9" s="38">
        <v>0</v>
      </c>
    </row>
    <row r="10" spans="1:13" ht="45" x14ac:dyDescent="0.25">
      <c r="A10" s="2" t="s">
        <v>198</v>
      </c>
      <c r="B10" s="38">
        <v>0</v>
      </c>
      <c r="C10" s="38">
        <v>0</v>
      </c>
      <c r="D10" s="38">
        <v>0</v>
      </c>
      <c r="E10" s="38">
        <v>0</v>
      </c>
      <c r="F10" s="38">
        <v>0</v>
      </c>
      <c r="G10" s="38">
        <v>0</v>
      </c>
    </row>
    <row r="11" spans="1:13" ht="30" x14ac:dyDescent="0.25">
      <c r="A11" s="2" t="s">
        <v>141</v>
      </c>
      <c r="B11" s="38">
        <v>0</v>
      </c>
      <c r="C11" s="38">
        <v>0</v>
      </c>
      <c r="D11" s="38">
        <v>0</v>
      </c>
      <c r="E11" s="38">
        <v>0</v>
      </c>
      <c r="F11" s="38">
        <v>0</v>
      </c>
      <c r="G11" s="38">
        <v>0</v>
      </c>
    </row>
    <row r="12" spans="1:13" ht="30" x14ac:dyDescent="0.25">
      <c r="A12" s="2" t="s">
        <v>240</v>
      </c>
      <c r="B12" s="38">
        <v>1</v>
      </c>
      <c r="C12" s="38">
        <v>1</v>
      </c>
      <c r="D12" s="38">
        <v>1</v>
      </c>
      <c r="E12" s="38">
        <v>1</v>
      </c>
      <c r="F12" s="38">
        <v>1</v>
      </c>
      <c r="G12" s="38">
        <v>1</v>
      </c>
    </row>
    <row r="13" spans="1:13" ht="30" x14ac:dyDescent="0.25">
      <c r="A13" s="2" t="s">
        <v>199</v>
      </c>
      <c r="B13" s="37"/>
      <c r="C13" s="37"/>
      <c r="D13" s="37"/>
      <c r="E13" s="35">
        <v>1</v>
      </c>
      <c r="F13" s="37" t="str">
        <f>IF(E13=E14,"cell values can't match","")</f>
        <v/>
      </c>
      <c r="G13" s="37"/>
    </row>
    <row r="14" spans="1:13" ht="30" x14ac:dyDescent="0.25">
      <c r="A14" s="2" t="s">
        <v>200</v>
      </c>
      <c r="B14" s="4"/>
      <c r="C14" s="4"/>
      <c r="D14" s="4"/>
      <c r="E14" s="36">
        <v>0</v>
      </c>
      <c r="F14" s="4"/>
      <c r="G14" s="4"/>
      <c r="J14" s="4"/>
    </row>
    <row r="15" spans="1:13" ht="74.25" customHeight="1" thickBot="1" x14ac:dyDescent="0.3">
      <c r="A15" s="68" t="s">
        <v>166</v>
      </c>
      <c r="B15" s="114"/>
      <c r="C15" s="114"/>
      <c r="D15" s="114"/>
      <c r="E15" s="114"/>
      <c r="F15" s="114"/>
      <c r="G15" s="114"/>
    </row>
    <row r="16" spans="1:13" ht="14.45" customHeight="1" thickBot="1" x14ac:dyDescent="0.3">
      <c r="A16" s="76" t="s">
        <v>90</v>
      </c>
      <c r="B16" s="63"/>
      <c r="C16" s="63"/>
      <c r="D16" s="63"/>
      <c r="E16" s="63"/>
      <c r="F16" s="63"/>
      <c r="G16" s="63"/>
      <c r="H16" s="63"/>
      <c r="I16" s="63"/>
      <c r="J16" s="63"/>
      <c r="K16" s="63"/>
      <c r="L16" s="63"/>
      <c r="M16" s="63"/>
    </row>
    <row r="17" spans="1:13" ht="48" customHeight="1" thickBot="1" x14ac:dyDescent="0.3">
      <c r="A17" s="117" t="s">
        <v>241</v>
      </c>
      <c r="B17" s="50" t="s">
        <v>51</v>
      </c>
      <c r="C17" s="50" t="s">
        <v>52</v>
      </c>
      <c r="D17" s="19" t="s">
        <v>37</v>
      </c>
      <c r="E17" s="19" t="s">
        <v>40</v>
      </c>
      <c r="F17" s="19" t="s">
        <v>41</v>
      </c>
      <c r="G17" s="19" t="s">
        <v>42</v>
      </c>
    </row>
    <row r="18" spans="1:13" ht="14.45" customHeight="1" x14ac:dyDescent="0.25">
      <c r="A18" s="1" t="s">
        <v>91</v>
      </c>
      <c r="B18" s="87">
        <f>B38/(1+B38+C38)</f>
        <v>5.2717021636720138E-2</v>
      </c>
      <c r="C18" s="87">
        <f>D38/(1+D38+E38)</f>
        <v>2.5798590526785833E-2</v>
      </c>
      <c r="D18" s="87">
        <f>F38/(1+F38+G38)</f>
        <v>2.7639713173271518E-2</v>
      </c>
      <c r="E18" s="87">
        <f>H38/(1+H38+I38)</f>
        <v>3.6625275410977952E-2</v>
      </c>
      <c r="F18" s="87">
        <f>J38/(1+J38+K38)</f>
        <v>2.7639713173271518E-2</v>
      </c>
      <c r="G18" s="87">
        <f>L38/(1+L38+M38)</f>
        <v>2.7639713173271518E-2</v>
      </c>
      <c r="I18" s="4"/>
    </row>
    <row r="19" spans="1:13" ht="14.45" customHeight="1" x14ac:dyDescent="0.25">
      <c r="A19" s="1" t="s">
        <v>92</v>
      </c>
      <c r="B19" s="88">
        <f>C38/(1+B38+C38)</f>
        <v>0.16618429686697761</v>
      </c>
      <c r="C19" s="88">
        <f>E38/(1+D38+E38)</f>
        <v>8.1327064650910233E-2</v>
      </c>
      <c r="D19" s="88">
        <f>G38/(1+F38+G38)</f>
        <v>0.10937096161427105</v>
      </c>
      <c r="E19" s="88">
        <f>I38/(1+H38+I38)</f>
        <v>0.11545693312638099</v>
      </c>
      <c r="F19" s="88">
        <f>K38/(1+J38+K38)</f>
        <v>0.10937096161427105</v>
      </c>
      <c r="G19" s="88">
        <f>M38/(1+L38+M38)</f>
        <v>0.10937096161427105</v>
      </c>
      <c r="I19" s="4"/>
    </row>
    <row r="20" spans="1:13" ht="14.45" customHeight="1" x14ac:dyDescent="0.25">
      <c r="A20" s="1" t="s">
        <v>93</v>
      </c>
      <c r="B20" s="89">
        <f t="shared" ref="B20:G20" si="0">1-(B18+B19)</f>
        <v>0.78109868149630224</v>
      </c>
      <c r="C20" s="89">
        <f t="shared" si="0"/>
        <v>0.89287434482230399</v>
      </c>
      <c r="D20" s="89">
        <f t="shared" si="0"/>
        <v>0.86298932521245741</v>
      </c>
      <c r="E20" s="89">
        <f t="shared" si="0"/>
        <v>0.84791779146264101</v>
      </c>
      <c r="F20" s="89">
        <f t="shared" si="0"/>
        <v>0.86298932521245741</v>
      </c>
      <c r="G20" s="89">
        <f t="shared" si="0"/>
        <v>0.86298932521245741</v>
      </c>
      <c r="I20" s="4"/>
    </row>
    <row r="21" spans="1:13" ht="14.45" customHeight="1" thickBot="1" x14ac:dyDescent="0.3">
      <c r="A21" s="53" t="s">
        <v>124</v>
      </c>
      <c r="B21" s="89"/>
      <c r="C21" s="89"/>
      <c r="D21" s="89"/>
      <c r="E21" s="89"/>
      <c r="F21" s="89"/>
      <c r="G21" s="89"/>
      <c r="H21" s="3"/>
      <c r="I21" s="3"/>
      <c r="J21" s="3"/>
      <c r="K21" s="3"/>
      <c r="L21" s="3"/>
      <c r="M21" s="3"/>
    </row>
    <row r="22" spans="1:13" ht="14.45" customHeight="1" thickBot="1" x14ac:dyDescent="0.3">
      <c r="A22" s="76" t="s">
        <v>63</v>
      </c>
      <c r="B22" s="64"/>
      <c r="C22" s="64"/>
      <c r="D22" s="64"/>
      <c r="E22" s="64"/>
      <c r="F22" s="64"/>
      <c r="G22" s="64"/>
      <c r="H22" s="64"/>
      <c r="I22" s="64"/>
      <c r="J22" s="64"/>
      <c r="K22" s="64"/>
      <c r="L22" s="64"/>
      <c r="M22" s="64"/>
    </row>
    <row r="23" spans="1:13" ht="69.75" customHeight="1" x14ac:dyDescent="0.25">
      <c r="A23" s="116" t="s">
        <v>219</v>
      </c>
      <c r="B23" s="67" t="s">
        <v>128</v>
      </c>
      <c r="C23" s="67" t="s">
        <v>129</v>
      </c>
      <c r="D23" s="67" t="s">
        <v>130</v>
      </c>
      <c r="E23" s="67" t="s">
        <v>131</v>
      </c>
      <c r="F23" s="67" t="s">
        <v>132</v>
      </c>
      <c r="G23" s="67" t="s">
        <v>133</v>
      </c>
      <c r="H23" s="67" t="s">
        <v>134</v>
      </c>
      <c r="I23" s="67" t="s">
        <v>135</v>
      </c>
      <c r="J23" s="67" t="s">
        <v>136</v>
      </c>
      <c r="K23" s="67" t="s">
        <v>137</v>
      </c>
      <c r="L23" s="67" t="s">
        <v>138</v>
      </c>
      <c r="M23" s="67" t="s">
        <v>139</v>
      </c>
    </row>
    <row r="24" spans="1:13" ht="14.45" customHeight="1" x14ac:dyDescent="0.25">
      <c r="A24" s="1" t="s">
        <v>94</v>
      </c>
      <c r="B24" s="14">
        <f>-3.104305</f>
        <v>-3.1043050000000001</v>
      </c>
      <c r="C24" s="14">
        <f>-1.956146</f>
        <v>-1.9561459999999999</v>
      </c>
      <c r="D24" s="14">
        <f>-3.104305</f>
        <v>-3.1043050000000001</v>
      </c>
      <c r="E24" s="14">
        <f>-1.956146</f>
        <v>-1.9561459999999999</v>
      </c>
      <c r="F24" s="14">
        <f>-3.104305</f>
        <v>-3.1043050000000001</v>
      </c>
      <c r="G24" s="14">
        <f>-1.956146</f>
        <v>-1.9561459999999999</v>
      </c>
      <c r="H24" s="14">
        <f>-3.104305</f>
        <v>-3.1043050000000001</v>
      </c>
      <c r="I24" s="14">
        <f>-1.956146</f>
        <v>-1.9561459999999999</v>
      </c>
      <c r="J24" s="14">
        <f>-3.104305</f>
        <v>-3.1043050000000001</v>
      </c>
      <c r="K24" s="14">
        <f>-1.956146</f>
        <v>-1.9561459999999999</v>
      </c>
      <c r="L24" s="14">
        <f>-3.104305</f>
        <v>-3.1043050000000001</v>
      </c>
      <c r="M24" s="14">
        <f>-1.956146</f>
        <v>-1.9561459999999999</v>
      </c>
    </row>
    <row r="25" spans="1:13" ht="14.45" customHeight="1" x14ac:dyDescent="0.25">
      <c r="A25" s="2" t="s">
        <v>242</v>
      </c>
      <c r="B25" s="13">
        <f>$B$4*-0.7860856</f>
        <v>0</v>
      </c>
      <c r="C25" s="22"/>
      <c r="D25" s="13">
        <f>$C$4*-0.7860856</f>
        <v>0</v>
      </c>
      <c r="E25" s="22"/>
      <c r="F25" s="13">
        <f>$D$4*-0.7860856</f>
        <v>0</v>
      </c>
      <c r="G25" s="22"/>
      <c r="H25" s="13">
        <f>$E$4*-0.7860856</f>
        <v>0</v>
      </c>
      <c r="I25" s="22"/>
      <c r="J25" s="13">
        <f>$F$4*-0.7860856</f>
        <v>0</v>
      </c>
      <c r="K25" s="22"/>
      <c r="L25" s="13">
        <f>$G$4*-0.7860856</f>
        <v>0</v>
      </c>
      <c r="M25" s="22"/>
    </row>
    <row r="26" spans="1:13" ht="14.45" customHeight="1" x14ac:dyDescent="0.25">
      <c r="A26" s="2" t="s">
        <v>211</v>
      </c>
      <c r="B26" s="13">
        <f>$B$5*-0.1770416</f>
        <v>0</v>
      </c>
      <c r="C26" s="22"/>
      <c r="D26" s="13">
        <f>$C$5*-0.1770416</f>
        <v>0</v>
      </c>
      <c r="E26" s="22"/>
      <c r="F26" s="13">
        <f>$D$5*-0.1770416</f>
        <v>0</v>
      </c>
      <c r="G26" s="22"/>
      <c r="H26" s="13">
        <f>$E$5*-0.1770416</f>
        <v>0</v>
      </c>
      <c r="I26" s="22"/>
      <c r="J26" s="13">
        <f>$F$5*-0.1770416</f>
        <v>0</v>
      </c>
      <c r="K26" s="22"/>
      <c r="L26" s="13">
        <f>$G$5*-0.1770416</f>
        <v>0</v>
      </c>
      <c r="M26" s="22"/>
    </row>
    <row r="27" spans="1:13" ht="14.45" customHeight="1" x14ac:dyDescent="0.25">
      <c r="A27" s="2" t="s">
        <v>95</v>
      </c>
      <c r="B27" s="13">
        <f>IF(B6&gt;64,1,0)*0.8702052</f>
        <v>0</v>
      </c>
      <c r="C27" s="13">
        <f>IF(B6&gt;64,1,0)*0.8702052</f>
        <v>0</v>
      </c>
      <c r="D27" s="13">
        <f>IF(C6&gt;64,1,0)*0.8702052</f>
        <v>0</v>
      </c>
      <c r="E27" s="13">
        <f>IF(C6&gt;64,1,0)*0.8702052</f>
        <v>0</v>
      </c>
      <c r="F27" s="13">
        <f>IF(D6&gt;64,1,0)*0.8702052</f>
        <v>0</v>
      </c>
      <c r="G27" s="13">
        <f>IF(D6&gt;64,1,0)*0.8702052</f>
        <v>0</v>
      </c>
      <c r="H27" s="13">
        <f>IF(E6&gt;64,1,0)*0.8702052</f>
        <v>0</v>
      </c>
      <c r="I27" s="13">
        <f>IF(E6&gt;64,1,0)*0.8702052</f>
        <v>0</v>
      </c>
      <c r="J27" s="13">
        <f>IF(F6&gt;64,1,0)*0.8702052</f>
        <v>0</v>
      </c>
      <c r="K27" s="13">
        <f>IF(F6&gt;64,1,0)*0.8702052</f>
        <v>0</v>
      </c>
      <c r="L27" s="13">
        <f>IF(G6&gt;64,1,0)*0.8702052</f>
        <v>0</v>
      </c>
      <c r="M27" s="13">
        <f>IF(G6&gt;64,1,0)*0.8702052</f>
        <v>0</v>
      </c>
    </row>
    <row r="28" spans="1:13" ht="14.45" customHeight="1" x14ac:dyDescent="0.25">
      <c r="A28" s="2" t="s">
        <v>243</v>
      </c>
      <c r="B28" s="13">
        <f>IF(B7&gt;44,1,0)*0.2313787</f>
        <v>0.23137869999999999</v>
      </c>
      <c r="C28" s="13">
        <f>IF(B7&gt;44,1,0)*0.2313787</f>
        <v>0.23137869999999999</v>
      </c>
      <c r="D28" s="13">
        <f>IF(C7&gt;44,1,0)*0.2313787</f>
        <v>0.23137869999999999</v>
      </c>
      <c r="E28" s="13">
        <f>IF(C7&gt;44,1,0)*0.2313787</f>
        <v>0.23137869999999999</v>
      </c>
      <c r="F28" s="13">
        <f>IF(D7&gt;44,1,0)*0.2313787</f>
        <v>0.23137869999999999</v>
      </c>
      <c r="G28" s="13">
        <f>IF(D7&gt;44,1,0)*0.2313787</f>
        <v>0.23137869999999999</v>
      </c>
      <c r="H28" s="13">
        <f>IF(E7&gt;44,1,0)*0.2313787</f>
        <v>0.23137869999999999</v>
      </c>
      <c r="I28" s="13">
        <f>IF(E7&gt;44,1,0)*0.2313787</f>
        <v>0.23137869999999999</v>
      </c>
      <c r="J28" s="13">
        <f>IF(F7&gt;44,1,0)*0.2313787</f>
        <v>0.23137869999999999</v>
      </c>
      <c r="K28" s="13">
        <f>IF(F7&gt;44,1,0)*0.2313787</f>
        <v>0.23137869999999999</v>
      </c>
      <c r="L28" s="13">
        <f>IF(G7&gt;44,1,0)*0.2313787</f>
        <v>0.23137869999999999</v>
      </c>
      <c r="M28" s="13">
        <f>IF(G7&gt;44,1,0)*0.2313787</f>
        <v>0.23137869999999999</v>
      </c>
    </row>
    <row r="29" spans="1:13" ht="14.45" customHeight="1" x14ac:dyDescent="0.25">
      <c r="A29" s="2" t="s">
        <v>190</v>
      </c>
      <c r="B29" s="13"/>
      <c r="C29" s="13"/>
      <c r="D29" s="13"/>
      <c r="E29" s="13"/>
      <c r="F29" s="13"/>
      <c r="G29" s="13"/>
      <c r="H29" s="13">
        <f>$E$13*-0.446282</f>
        <v>-0.44628200000000001</v>
      </c>
      <c r="I29" s="13">
        <f>$E$13*-0.446282</f>
        <v>-0.44628200000000001</v>
      </c>
      <c r="J29" s="13"/>
      <c r="K29" s="13"/>
      <c r="L29" s="13"/>
      <c r="M29" s="13"/>
    </row>
    <row r="30" spans="1:13" ht="14.45" customHeight="1" x14ac:dyDescent="0.25">
      <c r="A30" s="2" t="s">
        <v>191</v>
      </c>
      <c r="B30" s="13"/>
      <c r="C30" s="13"/>
      <c r="D30" s="13"/>
      <c r="E30" s="13"/>
      <c r="F30" s="13"/>
      <c r="G30" s="13"/>
      <c r="H30" s="13">
        <f>$E$14*-0.5103738</f>
        <v>0</v>
      </c>
      <c r="I30" s="13">
        <f>$E$14*-0.5103738</f>
        <v>0</v>
      </c>
      <c r="J30" s="13"/>
      <c r="K30" s="13"/>
      <c r="L30" s="13"/>
      <c r="M30" s="13"/>
    </row>
    <row r="31" spans="1:13" ht="14.45" customHeight="1" x14ac:dyDescent="0.25">
      <c r="A31" s="2" t="s">
        <v>96</v>
      </c>
      <c r="B31" s="13"/>
      <c r="C31" s="13"/>
      <c r="D31" s="13"/>
      <c r="E31" s="13"/>
      <c r="F31" s="13">
        <f>-0.7453856</f>
        <v>-0.74538559999999998</v>
      </c>
      <c r="G31" s="13">
        <f>-0.5180528</f>
        <v>-0.51805279999999998</v>
      </c>
      <c r="H31" s="13"/>
      <c r="I31" s="13"/>
      <c r="J31" s="13">
        <f>-0.7453856</f>
        <v>-0.74538559999999998</v>
      </c>
      <c r="K31" s="13">
        <f>-0.5180528</f>
        <v>-0.51805279999999998</v>
      </c>
      <c r="L31" s="13">
        <f>-0.7453856</f>
        <v>-0.74538559999999998</v>
      </c>
      <c r="M31" s="13">
        <f>-0.5180528</f>
        <v>-0.51805279999999998</v>
      </c>
    </row>
    <row r="32" spans="1:13" ht="14.45" customHeight="1" x14ac:dyDescent="0.25">
      <c r="A32" s="2" t="s">
        <v>97</v>
      </c>
      <c r="B32" s="13"/>
      <c r="C32" s="13"/>
      <c r="D32" s="13">
        <f>-0.8483629</f>
        <v>-0.84836290000000003</v>
      </c>
      <c r="E32" s="13">
        <f>-0.8483629</f>
        <v>-0.84836290000000003</v>
      </c>
      <c r="F32" s="13"/>
      <c r="G32" s="13"/>
      <c r="H32" s="13"/>
      <c r="I32" s="13"/>
      <c r="J32" s="13"/>
      <c r="K32" s="13"/>
      <c r="L32" s="13"/>
      <c r="M32" s="13"/>
    </row>
    <row r="33" spans="1:13" ht="28.35" customHeight="1" x14ac:dyDescent="0.25">
      <c r="A33" s="2" t="s">
        <v>215</v>
      </c>
      <c r="B33" s="13">
        <f>$B$8*1.230405</f>
        <v>0</v>
      </c>
      <c r="C33" s="13">
        <f>$B$8*1.230405</f>
        <v>0</v>
      </c>
      <c r="D33" s="13">
        <f>$C$8*1.230405</f>
        <v>0</v>
      </c>
      <c r="E33" s="13">
        <f>$C$8*1.230405</f>
        <v>0</v>
      </c>
      <c r="F33" s="13">
        <f>$D$8*1.230405</f>
        <v>0</v>
      </c>
      <c r="G33" s="13">
        <f>$D$8*1.230405</f>
        <v>0</v>
      </c>
      <c r="H33" s="13">
        <f>$E$8*1.230405</f>
        <v>0</v>
      </c>
      <c r="I33" s="13">
        <f>$E$8*1.230405</f>
        <v>0</v>
      </c>
      <c r="J33" s="13">
        <f>$F$8*1.230405</f>
        <v>0</v>
      </c>
      <c r="K33" s="13">
        <f>$F$8*1.230405</f>
        <v>0</v>
      </c>
      <c r="L33" s="13">
        <f>$G$8*1.230405</f>
        <v>0</v>
      </c>
      <c r="M33" s="13">
        <f>$G$8*1.230405</f>
        <v>0</v>
      </c>
    </row>
    <row r="34" spans="1:13" ht="14.45" customHeight="1" x14ac:dyDescent="0.25">
      <c r="A34" s="2" t="s">
        <v>88</v>
      </c>
      <c r="B34" s="13">
        <f>$B$9*0.3018396</f>
        <v>0</v>
      </c>
      <c r="C34" s="22"/>
      <c r="D34" s="13">
        <f>$C$9*0.3018396</f>
        <v>0</v>
      </c>
      <c r="E34" s="22"/>
      <c r="F34" s="13">
        <f>$D$9*0.3018396</f>
        <v>0</v>
      </c>
      <c r="G34" s="22"/>
      <c r="H34" s="13">
        <f>$E$9*0.3018396</f>
        <v>0</v>
      </c>
      <c r="I34" s="22"/>
      <c r="J34" s="13">
        <f>$F$9*0.3018396</f>
        <v>0</v>
      </c>
      <c r="K34" s="22"/>
      <c r="L34" s="13">
        <f>$G$9*0.3018396</f>
        <v>0</v>
      </c>
      <c r="M34" s="22"/>
    </row>
    <row r="35" spans="1:13" ht="28.35" customHeight="1" x14ac:dyDescent="0.25">
      <c r="A35" s="2" t="s">
        <v>197</v>
      </c>
      <c r="B35" s="13">
        <f>$B$10*0.0253886</f>
        <v>0</v>
      </c>
      <c r="C35" s="13">
        <f>$B$10*0.0253886</f>
        <v>0</v>
      </c>
      <c r="D35" s="13">
        <f>$C$10*0.0253886</f>
        <v>0</v>
      </c>
      <c r="E35" s="13">
        <f>$C$10*0.0253886</f>
        <v>0</v>
      </c>
      <c r="F35" s="13">
        <f>$D$10*0.0253886</f>
        <v>0</v>
      </c>
      <c r="G35" s="13">
        <f>$D$10*0.0253886</f>
        <v>0</v>
      </c>
      <c r="H35" s="13">
        <f>$E$10*0.0253886</f>
        <v>0</v>
      </c>
      <c r="I35" s="13">
        <f>$E$10*0.0253886</f>
        <v>0</v>
      </c>
      <c r="J35" s="13">
        <f>$F$10*0.0253886</f>
        <v>0</v>
      </c>
      <c r="K35" s="13">
        <f>$F$10*0.0253886</f>
        <v>0</v>
      </c>
      <c r="L35" s="13">
        <f>$G$10*0.0253886</f>
        <v>0</v>
      </c>
      <c r="M35" s="13">
        <f>$G$10*0.0253886</f>
        <v>0</v>
      </c>
    </row>
    <row r="36" spans="1:13" ht="14.45" customHeight="1" x14ac:dyDescent="0.25">
      <c r="A36" s="2" t="s">
        <v>89</v>
      </c>
      <c r="B36" s="13">
        <f>$B$11*0.4829479</f>
        <v>0</v>
      </c>
      <c r="C36" s="13">
        <f>$B$11*0.4829479</f>
        <v>0</v>
      </c>
      <c r="D36" s="13">
        <f>$C$11*0.4829479</f>
        <v>0</v>
      </c>
      <c r="E36" s="13">
        <f>$C$11*0.4829479</f>
        <v>0</v>
      </c>
      <c r="F36" s="13">
        <f>$D$11*0.4829479</f>
        <v>0</v>
      </c>
      <c r="G36" s="13">
        <f>$D$11*0.4829479</f>
        <v>0</v>
      </c>
      <c r="H36" s="13">
        <f>$E$11*0.4829479</f>
        <v>0</v>
      </c>
      <c r="I36" s="13">
        <f>$E$11*0.4829479</f>
        <v>0</v>
      </c>
      <c r="J36" s="13">
        <f>$F$11*0.4829479</f>
        <v>0</v>
      </c>
      <c r="K36" s="13">
        <f>$F$11*0.4829479</f>
        <v>0</v>
      </c>
      <c r="L36" s="13">
        <f>$G$11*0.4829479</f>
        <v>0</v>
      </c>
      <c r="M36" s="13">
        <f>$G$11*0.4829479</f>
        <v>0</v>
      </c>
    </row>
    <row r="37" spans="1:13" ht="14.45" customHeight="1" x14ac:dyDescent="0.25">
      <c r="A37" s="2" t="s">
        <v>214</v>
      </c>
      <c r="B37" s="15">
        <f>$B$12*0.1771632</f>
        <v>0.17716319999999999</v>
      </c>
      <c r="C37" s="15">
        <f>$B$12*0.1771632</f>
        <v>0.17716319999999999</v>
      </c>
      <c r="D37" s="15">
        <f>$C$12*0.1771632</f>
        <v>0.17716319999999999</v>
      </c>
      <c r="E37" s="15">
        <f>$C$12*0.1771632</f>
        <v>0.17716319999999999</v>
      </c>
      <c r="F37" s="15">
        <f>$D$12*0.1771632</f>
        <v>0.17716319999999999</v>
      </c>
      <c r="G37" s="15">
        <f>$D$12*0.1771632</f>
        <v>0.17716319999999999</v>
      </c>
      <c r="H37" s="15">
        <f>$E$12*0.1771632</f>
        <v>0.17716319999999999</v>
      </c>
      <c r="I37" s="15">
        <f>$E$12*0.1771632</f>
        <v>0.17716319999999999</v>
      </c>
      <c r="J37" s="15">
        <f>$F$12*0.1771632</f>
        <v>0.17716319999999999</v>
      </c>
      <c r="K37" s="15">
        <f>$F$12*0.1771632</f>
        <v>0.17716319999999999</v>
      </c>
      <c r="L37" s="15">
        <f>$G$12*0.1771632</f>
        <v>0.17716319999999999</v>
      </c>
      <c r="M37" s="15">
        <f>$G$12*0.1771632</f>
        <v>0.17716319999999999</v>
      </c>
    </row>
    <row r="38" spans="1:13" ht="29.25" customHeight="1" x14ac:dyDescent="0.25">
      <c r="A38" t="s">
        <v>44</v>
      </c>
      <c r="B38" s="66">
        <f t="shared" ref="B38:M38" si="1">EXP(SUM(B24:B37))</f>
        <v>6.7490859843385487E-2</v>
      </c>
      <c r="C38" s="66">
        <f t="shared" si="1"/>
        <v>0.21275710842147202</v>
      </c>
      <c r="D38" s="66">
        <f t="shared" si="1"/>
        <v>2.8893864714995433E-2</v>
      </c>
      <c r="E38" s="66">
        <f t="shared" si="1"/>
        <v>9.1084557555627388E-2</v>
      </c>
      <c r="F38" s="66">
        <f t="shared" si="1"/>
        <v>3.202787377059034E-2</v>
      </c>
      <c r="G38" s="66">
        <f t="shared" si="1"/>
        <v>0.12673501098909337</v>
      </c>
      <c r="H38" s="66">
        <f t="shared" si="1"/>
        <v>4.3194370704027908E-2</v>
      </c>
      <c r="I38" s="66">
        <f t="shared" si="1"/>
        <v>0.1361652441886142</v>
      </c>
      <c r="J38" s="66">
        <f t="shared" si="1"/>
        <v>3.202787377059034E-2</v>
      </c>
      <c r="K38" s="66">
        <f t="shared" si="1"/>
        <v>0.12673501098909337</v>
      </c>
      <c r="L38" s="66">
        <f t="shared" si="1"/>
        <v>3.202787377059034E-2</v>
      </c>
      <c r="M38" s="66">
        <f t="shared" si="1"/>
        <v>0.12673501098909337</v>
      </c>
    </row>
    <row r="39" spans="1:13" ht="14.45" customHeight="1" x14ac:dyDescent="0.25">
      <c r="A39" s="68" t="s">
        <v>142</v>
      </c>
      <c r="B39" s="15"/>
      <c r="C39" s="15"/>
      <c r="D39" s="15"/>
      <c r="E39" s="15"/>
      <c r="F39" s="15"/>
      <c r="G39" s="15"/>
      <c r="H39" s="15"/>
      <c r="I39" s="15"/>
      <c r="J39" s="15"/>
      <c r="K39" s="15"/>
      <c r="L39" s="15"/>
      <c r="M39" s="15"/>
    </row>
    <row r="40" spans="1:13" ht="14.45" hidden="1" customHeight="1" x14ac:dyDescent="0.25"/>
    <row r="41" spans="1:13" ht="14.45" hidden="1" customHeight="1" x14ac:dyDescent="0.25"/>
    <row r="42" spans="1:13" ht="14.45" hidden="1" customHeight="1" x14ac:dyDescent="0.25"/>
    <row r="43" spans="1:13" ht="14.45" hidden="1" customHeight="1" x14ac:dyDescent="0.25"/>
  </sheetData>
  <conditionalFormatting sqref="B10:G10">
    <cfRule type="cellIs" dxfId="48" priority="8" operator="greaterThan">
      <formula>7</formula>
    </cfRule>
  </conditionalFormatting>
  <conditionalFormatting sqref="E13:E14 B4:G5 B11:G12 B8:G9">
    <cfRule type="cellIs" dxfId="47" priority="3" operator="between">
      <formula>0.1</formula>
      <formula>0.9</formula>
    </cfRule>
    <cfRule type="cellIs" dxfId="46" priority="4" operator="lessThan">
      <formula>0</formula>
    </cfRule>
    <cfRule type="cellIs" dxfId="45" priority="5" operator="greaterThan">
      <formula>1</formula>
    </cfRule>
  </conditionalFormatting>
  <conditionalFormatting sqref="E13:E14">
    <cfRule type="duplicateValues" dxfId="44" priority="30"/>
  </conditionalFormatting>
  <pageMargins left="0.7" right="0.7" top="0.75" bottom="0.75" header="0.3" footer="0.3"/>
  <pageSetup scale="73" orientation="landscape" horizontalDpi="90" verticalDpi="90" r:id="rId1"/>
  <drawing r:id="rId2"/>
  <legacyDrawing r:id="rId3"/>
  <tableParts count="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EAC70-A314-4FCA-856A-AEBADB3C206D}">
  <dimension ref="A1:H9"/>
  <sheetViews>
    <sheetView topLeftCell="A19" zoomScaleNormal="100" zoomScaleSheetLayoutView="100" workbookViewId="0">
      <selection activeCell="H10" sqref="H10"/>
    </sheetView>
  </sheetViews>
  <sheetFormatPr defaultRowHeight="15" x14ac:dyDescent="0.25"/>
  <cols>
    <col min="1" max="8" width="15.5703125" customWidth="1"/>
  </cols>
  <sheetData>
    <row r="1" spans="1:8" ht="19.5" x14ac:dyDescent="0.25">
      <c r="A1" s="90" t="s">
        <v>98</v>
      </c>
      <c r="B1" s="18"/>
      <c r="C1" s="4"/>
      <c r="D1" s="4"/>
      <c r="E1" s="4"/>
      <c r="F1" s="4"/>
      <c r="G1" s="4"/>
      <c r="H1" s="4"/>
    </row>
    <row r="2" spans="1:8" ht="30" x14ac:dyDescent="0.25">
      <c r="A2" s="77" t="s">
        <v>244</v>
      </c>
      <c r="B2" s="50" t="s">
        <v>155</v>
      </c>
      <c r="C2" s="50" t="s">
        <v>52</v>
      </c>
      <c r="D2" s="50" t="s">
        <v>37</v>
      </c>
      <c r="E2" s="50" t="s">
        <v>53</v>
      </c>
      <c r="F2" s="50" t="s">
        <v>54</v>
      </c>
      <c r="G2" s="50" t="s">
        <v>41</v>
      </c>
      <c r="H2" s="50" t="s">
        <v>42</v>
      </c>
    </row>
    <row r="3" spans="1:8" x14ac:dyDescent="0.25">
      <c r="A3" s="4" t="s">
        <v>11</v>
      </c>
      <c r="B3" s="3">
        <f>PDO!B27-PDO!B26</f>
        <v>19.736741452706379</v>
      </c>
      <c r="C3" s="3">
        <f>PDO!C27-PDO!C26</f>
        <v>15.516003064157426</v>
      </c>
      <c r="D3" s="3">
        <f>PDO!D27-PDO!D26</f>
        <v>15.736021540600465</v>
      </c>
      <c r="E3" s="3">
        <f>PDO!E27-PDO!E26</f>
        <v>20.949643545790661</v>
      </c>
      <c r="F3" s="3">
        <f>PDO!F27-PDO!F26</f>
        <v>17.111001713715208</v>
      </c>
      <c r="G3" s="3">
        <f>PDO!G27-PDO!G26</f>
        <v>16.378291922841711</v>
      </c>
      <c r="H3" s="3">
        <f>PDO!H27-PDO!H26</f>
        <v>17.169396112116985</v>
      </c>
    </row>
    <row r="4" spans="1:8" x14ac:dyDescent="0.25">
      <c r="A4" s="4"/>
      <c r="B4" s="3">
        <f>PDO!B28-PDO!B27</f>
        <v>21.545465582659123</v>
      </c>
      <c r="C4" s="3">
        <f>PDO!C28-PDO!C27</f>
        <v>17.310122015029584</v>
      </c>
      <c r="D4" s="3">
        <f>PDO!D28-PDO!D27</f>
        <v>17.531150152651318</v>
      </c>
      <c r="E4" s="3">
        <f>PDO!E28-PDO!E27</f>
        <v>22.761132749070068</v>
      </c>
      <c r="F4" s="3">
        <f>PDO!F28-PDO!F27</f>
        <v>18.911735165597694</v>
      </c>
      <c r="G4" s="3">
        <f>PDO!G28-PDO!G27</f>
        <v>18.176182682521912</v>
      </c>
      <c r="H4" s="3">
        <f>PDO!H28-PDO!H27</f>
        <v>18.970343048022926</v>
      </c>
    </row>
    <row r="5" spans="1:8" x14ac:dyDescent="0.25">
      <c r="A5" s="4" t="s">
        <v>245</v>
      </c>
      <c r="B5" s="3">
        <f>PDO!B30-PDO!B29</f>
        <v>6.4698054542482977</v>
      </c>
      <c r="C5" s="3">
        <f>PDO!C30-PDO!C29</f>
        <v>4.9514776102903237</v>
      </c>
      <c r="D5" s="3">
        <f>PDO!D30-PDO!D29</f>
        <v>5.9561603635505387</v>
      </c>
      <c r="E5" s="3">
        <f>PDO!E30-PDO!E29</f>
        <v>7.5791877670159842</v>
      </c>
      <c r="F5" s="3">
        <f>PDO!F30-PDO!F29</f>
        <v>7.1204152059467827</v>
      </c>
      <c r="G5" s="3">
        <f>PDO!G30-PDO!G29</f>
        <v>4.7659922322277604</v>
      </c>
      <c r="H5" s="3">
        <f>PDO!H30-PDO!H29</f>
        <v>3.9828333184131419</v>
      </c>
    </row>
    <row r="6" spans="1:8" x14ac:dyDescent="0.25">
      <c r="A6" s="4"/>
      <c r="B6" s="3">
        <f>PDO!B31-PDO!B30</f>
        <v>7.9874416959014711</v>
      </c>
      <c r="C6" s="3">
        <f>PDO!C31-PDO!C30</f>
        <v>6.4677821834151352</v>
      </c>
      <c r="D6" s="3">
        <f>PDO!D31-PDO!D30</f>
        <v>7.4758094841724612</v>
      </c>
      <c r="E6" s="3">
        <f>PDO!E31-PDO!E30</f>
        <v>9.0863571334759676</v>
      </c>
      <c r="F6" s="3">
        <f>PDO!F31-PDO!F30</f>
        <v>8.6327917134544006</v>
      </c>
      <c r="G6" s="3">
        <f>PDO!G31-PDO!G30</f>
        <v>6.2803389260150899</v>
      </c>
      <c r="H6" s="3">
        <f>PDO!H31-PDO!H30</f>
        <v>5.4826333665540723</v>
      </c>
    </row>
    <row r="7" spans="1:8" x14ac:dyDescent="0.25">
      <c r="A7" s="4" t="s">
        <v>246</v>
      </c>
      <c r="B7" s="3">
        <f>PDO!B34-PDO!B33</f>
        <v>22.978387933425061</v>
      </c>
      <c r="C7" s="3">
        <f>PDO!C34-PDO!C33</f>
        <v>18.478975365190415</v>
      </c>
      <c r="D7" s="3">
        <f>PDO!D34-PDO!D33</f>
        <v>19.058566397251635</v>
      </c>
      <c r="E7" s="3">
        <f>PDO!E34-PDO!E33</f>
        <v>24.507775296380117</v>
      </c>
      <c r="F7" s="3">
        <f>PDO!F34-PDO!F33</f>
        <v>20.788910980173817</v>
      </c>
      <c r="G7" s="3">
        <f>PDO!G34-PDO!G33</f>
        <v>19.230607736991303</v>
      </c>
      <c r="H7" s="3">
        <f>PDO!H34-PDO!H33</f>
        <v>19.746725905621005</v>
      </c>
    </row>
    <row r="8" spans="1:8" x14ac:dyDescent="0.25">
      <c r="A8" s="4"/>
      <c r="B8" s="3">
        <f>PDO!B33-PDO!B32</f>
        <v>22.978387933425058</v>
      </c>
      <c r="C8" s="3">
        <f>PDO!C33-PDO!C32</f>
        <v>18.478975365190411</v>
      </c>
      <c r="D8" s="3">
        <f>PDO!D33-PDO!D32</f>
        <v>19.058566397251639</v>
      </c>
      <c r="E8" s="3">
        <f>PDO!E33-PDO!E32</f>
        <v>24.507775296380117</v>
      </c>
      <c r="F8" s="3">
        <f>PDO!F33-PDO!F32</f>
        <v>20.788910980173817</v>
      </c>
      <c r="G8" s="3">
        <f>PDO!G33-PDO!G32</f>
        <v>19.230607736991303</v>
      </c>
      <c r="H8" s="3">
        <f>PDO!H33-PDO!H32</f>
        <v>19.746725905621009</v>
      </c>
    </row>
    <row r="9" spans="1:8" x14ac:dyDescent="0.25">
      <c r="A9" s="115" t="s">
        <v>99</v>
      </c>
      <c r="B9" s="3"/>
      <c r="C9" s="3"/>
      <c r="D9" s="3"/>
      <c r="E9" s="3"/>
      <c r="F9" s="3"/>
      <c r="G9" s="3"/>
      <c r="H9" s="3"/>
    </row>
  </sheetData>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4B67BF-8795-4E55-9783-57AB73D762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6C64EE8-F643-4AB7-9749-1322FEC972D0}">
  <ds:schemaRef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elements/1.1/"/>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0DAAA5BD-F4C1-4AEF-8EAE-40597560FB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Welcome</vt:lpstr>
      <vt:lpstr>Instructions</vt:lpstr>
      <vt:lpstr>PDO</vt:lpstr>
      <vt:lpstr>KABC</vt:lpstr>
      <vt:lpstr>SDF</vt:lpstr>
      <vt:lpstr>Charts</vt:lpstr>
      <vt:lpstr>Instructions!Print_Area</vt:lpstr>
      <vt:lpstr>KABC!Print_Area</vt:lpstr>
      <vt:lpstr>PDO!Print_Area</vt:lpstr>
      <vt:lpstr>SDF!Print_Area</vt:lpstr>
      <vt:lpstr>Welcome!Print_Area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Gayah, Vikash V.</dc:creator>
  <cp:keywords/>
  <dc:description/>
  <cp:lastModifiedBy>Matthews, Stephanie CTR (FHWA)</cp:lastModifiedBy>
  <cp:revision/>
  <dcterms:created xsi:type="dcterms:W3CDTF">2015-06-05T18:17:20Z</dcterms:created>
  <dcterms:modified xsi:type="dcterms:W3CDTF">2023-05-01T14:28:00Z</dcterms:modified>
  <cp:category/>
  <cp:contentStatus/>
</cp:coreProperties>
</file>