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ttps://usdot-my.sharepoint.com/personal/karen_scurry_ad_dot_gov/Documents/HSIP BCR/PSC Templates/"/>
    </mc:Choice>
  </mc:AlternateContent>
  <xr:revisionPtr revIDLastSave="0" documentId="8_{3CA9C6AA-AA81-42B4-816F-10543BC29601}" xr6:coauthVersionLast="47" xr6:coauthVersionMax="47" xr10:uidLastSave="{00000000-0000-0000-0000-000000000000}"/>
  <bookViews>
    <workbookView xWindow="-120" yWindow="-120" windowWidth="29040" windowHeight="15720" tabRatio="869" activeTab="1" xr2:uid="{00000000-000D-0000-FFFF-FFFF00000000}"/>
  </bookViews>
  <sheets>
    <sheet name="Cover" sheetId="12" r:id="rId1"/>
    <sheet name="Instructions" sheetId="2" r:id="rId2"/>
    <sheet name="Agency Customization - BCR" sheetId="5" r:id="rId3"/>
    <sheet name="CM Score Template-Original CMF" sheetId="3" state="hidden" r:id="rId4"/>
    <sheet name="BCR Template" sheetId="4" r:id="rId5"/>
    <sheet name="BCR Results" sheetId="9" r:id="rId6"/>
    <sheet name="Agency Customization - CM Score" sheetId="11" r:id="rId7"/>
    <sheet name="CM Score Template" sheetId="7" r:id="rId8"/>
    <sheet name="CM Score Results" sheetId="10" r:id="rId9"/>
    <sheet name="PSC Cost Information" sheetId="8" r:id="rId10"/>
  </sheets>
  <definedNames>
    <definedName name="_xlnm._FilterDatabase" localSheetId="4" hidden="1">'BCR Template'!$A$2:$N$38</definedName>
    <definedName name="_xlnm._FilterDatabase" localSheetId="7" hidden="1">'CM Score Template'!$A$2:$S$38</definedName>
    <definedName name="_Ref175734841" localSheetId="1">Instructions!$A$54</definedName>
    <definedName name="_Ref175735226" localSheetId="1">Instructions!$A$57</definedName>
    <definedName name="_Ref175735649" localSheetId="1">Instructions!$A$65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 i="4" l="1"/>
  <c r="K13" i="4"/>
  <c r="L13" i="4" s="1"/>
  <c r="N13" i="4" s="1"/>
  <c r="K3" i="4"/>
  <c r="L3" i="4" s="1"/>
  <c r="R22" i="7"/>
  <c r="B7" i="11"/>
  <c r="Q31" i="7"/>
  <c r="P22" i="7"/>
  <c r="P23" i="7"/>
  <c r="C35" i="7"/>
  <c r="C38" i="7"/>
  <c r="C37" i="7"/>
  <c r="C18" i="7"/>
  <c r="B33" i="11"/>
  <c r="B24" i="11"/>
  <c r="B23" i="11"/>
  <c r="B16" i="11"/>
  <c r="B30" i="11" s="1"/>
  <c r="C11" i="7" s="1"/>
  <c r="B15" i="11"/>
  <c r="B28" i="11" s="1"/>
  <c r="C12" i="7" s="1"/>
  <c r="O22" i="7"/>
  <c r="Q22" i="7" s="1"/>
  <c r="O23" i="7"/>
  <c r="R23" i="7" s="1"/>
  <c r="O24" i="7"/>
  <c r="P24" i="7" s="1"/>
  <c r="O25" i="7"/>
  <c r="Q25" i="7" s="1"/>
  <c r="O31" i="7"/>
  <c r="P31" i="7" s="1"/>
  <c r="O32" i="7"/>
  <c r="Q32" i="7" s="1"/>
  <c r="O33" i="7"/>
  <c r="Q33" i="7" s="1"/>
  <c r="B3" i="10"/>
  <c r="B3" i="9"/>
  <c r="C23" i="7"/>
  <c r="J4" i="4"/>
  <c r="M4" i="7"/>
  <c r="M5" i="7"/>
  <c r="O5" i="7" s="1"/>
  <c r="M6" i="7"/>
  <c r="M7" i="7"/>
  <c r="M8" i="7"/>
  <c r="O8" i="7" s="1"/>
  <c r="M9" i="7"/>
  <c r="O9" i="7" s="1"/>
  <c r="M10" i="7"/>
  <c r="O10" i="7" s="1"/>
  <c r="M11" i="7"/>
  <c r="M12" i="7"/>
  <c r="M13" i="7"/>
  <c r="M14" i="7"/>
  <c r="M15" i="7"/>
  <c r="M16" i="7"/>
  <c r="O16" i="7" s="1"/>
  <c r="M17" i="7"/>
  <c r="M18" i="7"/>
  <c r="M19" i="7"/>
  <c r="M20" i="7"/>
  <c r="M21" i="7"/>
  <c r="M22" i="7"/>
  <c r="M23" i="7"/>
  <c r="M24" i="7"/>
  <c r="M25" i="7"/>
  <c r="M26" i="7"/>
  <c r="M27" i="7"/>
  <c r="O27" i="7" s="1"/>
  <c r="M28" i="7"/>
  <c r="M29" i="7"/>
  <c r="M30" i="7"/>
  <c r="O30" i="7" s="1"/>
  <c r="M31" i="7"/>
  <c r="M32" i="7"/>
  <c r="M33" i="7"/>
  <c r="M34" i="7"/>
  <c r="O34" i="7" s="1"/>
  <c r="M35" i="7"/>
  <c r="O35" i="7" s="1"/>
  <c r="M36" i="7"/>
  <c r="M37" i="7"/>
  <c r="M38" i="7"/>
  <c r="M3" i="7"/>
  <c r="O3" i="7" s="1"/>
  <c r="Q34" i="7" l="1"/>
  <c r="P34" i="7"/>
  <c r="R34" i="7"/>
  <c r="P16" i="7"/>
  <c r="Q16" i="7"/>
  <c r="R16" i="7"/>
  <c r="R27" i="7"/>
  <c r="P27" i="7"/>
  <c r="Q27" i="7"/>
  <c r="Q10" i="7"/>
  <c r="R10" i="7"/>
  <c r="P10" i="7"/>
  <c r="Q9" i="7"/>
  <c r="R9" i="7"/>
  <c r="P9" i="7"/>
  <c r="R8" i="7"/>
  <c r="Q8" i="7"/>
  <c r="P8" i="7"/>
  <c r="Q35" i="7"/>
  <c r="P35" i="7"/>
  <c r="R35" i="7"/>
  <c r="Q30" i="7"/>
  <c r="P30" i="7"/>
  <c r="R30" i="7"/>
  <c r="R5" i="7"/>
  <c r="P5" i="7"/>
  <c r="Q5" i="7"/>
  <c r="R3" i="7"/>
  <c r="P3" i="7"/>
  <c r="Q3" i="7"/>
  <c r="Q24" i="7"/>
  <c r="Q23" i="7"/>
  <c r="P32" i="7"/>
  <c r="R31" i="7"/>
  <c r="R33" i="7"/>
  <c r="P33" i="7"/>
  <c r="R32" i="7"/>
  <c r="R25" i="7"/>
  <c r="P25" i="7"/>
  <c r="R24" i="7"/>
  <c r="M13" i="4"/>
  <c r="B26" i="11"/>
  <c r="C7" i="7" s="1"/>
  <c r="O7" i="7" s="1"/>
  <c r="R7" i="7" s="1"/>
  <c r="P7" i="7" l="1"/>
  <c r="Q7" i="7"/>
  <c r="J28" i="4"/>
  <c r="J22" i="4"/>
  <c r="J20" i="4"/>
  <c r="J9" i="4"/>
  <c r="J10" i="4"/>
  <c r="J33" i="4"/>
  <c r="J34" i="4"/>
  <c r="J17" i="4"/>
  <c r="J6" i="4"/>
  <c r="J7" i="4"/>
  <c r="J3" i="4"/>
  <c r="J13" i="4"/>
  <c r="J26" i="4"/>
  <c r="J27" i="4"/>
  <c r="J11" i="4"/>
  <c r="J37" i="4"/>
  <c r="J5" i="4"/>
  <c r="J32" i="4"/>
  <c r="J36" i="4"/>
  <c r="J21" i="4"/>
  <c r="J30" i="4"/>
  <c r="J18" i="4"/>
  <c r="J12" i="4"/>
  <c r="J31" i="4"/>
  <c r="J24" i="4"/>
  <c r="J19" i="4"/>
  <c r="J35" i="4"/>
  <c r="J16" i="4"/>
  <c r="J25" i="4"/>
  <c r="J14" i="4"/>
  <c r="J15" i="4"/>
  <c r="J29" i="4"/>
  <c r="J23" i="4"/>
  <c r="K28" i="4"/>
  <c r="L28" i="4" s="1"/>
  <c r="K22" i="4"/>
  <c r="L22" i="4" s="1"/>
  <c r="K20" i="4"/>
  <c r="L20" i="4" s="1"/>
  <c r="K4" i="4"/>
  <c r="L4" i="4" s="1"/>
  <c r="K10" i="4"/>
  <c r="L10" i="4" s="1"/>
  <c r="K33" i="4"/>
  <c r="L33" i="4" s="1"/>
  <c r="K8" i="4"/>
  <c r="L8" i="4" s="1"/>
  <c r="K17" i="4"/>
  <c r="L17" i="4" s="1"/>
  <c r="K6" i="4"/>
  <c r="L6" i="4" s="1"/>
  <c r="K7" i="4"/>
  <c r="L7" i="4" s="1"/>
  <c r="K11" i="4"/>
  <c r="L11" i="4" s="1"/>
  <c r="K5" i="4"/>
  <c r="L5" i="4" s="1"/>
  <c r="K32" i="4"/>
  <c r="L32" i="4" s="1"/>
  <c r="K21" i="4"/>
  <c r="L21" i="4" s="1"/>
  <c r="K31" i="4"/>
  <c r="L31" i="4" s="1"/>
  <c r="K24" i="4"/>
  <c r="L24" i="4" s="1"/>
  <c r="K19" i="4"/>
  <c r="L19" i="4" s="1"/>
  <c r="K35" i="4"/>
  <c r="L35" i="4" s="1"/>
  <c r="K25" i="4"/>
  <c r="L25" i="4" s="1"/>
  <c r="K15" i="4"/>
  <c r="L15" i="4" s="1"/>
  <c r="K29" i="4"/>
  <c r="L29" i="4" s="1"/>
  <c r="K23" i="4"/>
  <c r="L23" i="4" s="1"/>
  <c r="C30" i="4"/>
  <c r="K30" i="4" s="1"/>
  <c r="L30" i="4" s="1"/>
  <c r="C36" i="4"/>
  <c r="K36" i="4" s="1"/>
  <c r="L36" i="4" s="1"/>
  <c r="C14" i="4"/>
  <c r="C37" i="4"/>
  <c r="K37" i="4" s="1"/>
  <c r="L37" i="4" s="1"/>
  <c r="C34" i="4"/>
  <c r="K34" i="4" s="1"/>
  <c r="L34" i="4" s="1"/>
  <c r="K14" i="4" l="1"/>
  <c r="L14" i="4" s="1"/>
  <c r="C16" i="4"/>
  <c r="K16" i="4" s="1"/>
  <c r="L16" i="4" s="1"/>
  <c r="M14" i="4"/>
  <c r="N14" i="4"/>
  <c r="N10" i="4"/>
  <c r="M10" i="4"/>
  <c r="N19" i="4"/>
  <c r="M19" i="4"/>
  <c r="N24" i="4"/>
  <c r="M24" i="4"/>
  <c r="N31" i="4"/>
  <c r="M31" i="4"/>
  <c r="N29" i="4"/>
  <c r="M29" i="4"/>
  <c r="M17" i="4"/>
  <c r="N17" i="4"/>
  <c r="N28" i="4"/>
  <c r="M28" i="4"/>
  <c r="M15" i="4"/>
  <c r="N15" i="4"/>
  <c r="M32" i="4"/>
  <c r="N32" i="4"/>
  <c r="M4" i="4"/>
  <c r="N4" i="4"/>
  <c r="N20" i="4"/>
  <c r="M20" i="4"/>
  <c r="M6" i="4"/>
  <c r="N6" i="4"/>
  <c r="N34" i="4"/>
  <c r="M34" i="4"/>
  <c r="N25" i="4"/>
  <c r="M25" i="4"/>
  <c r="N5" i="4"/>
  <c r="M5" i="4"/>
  <c r="M8" i="4"/>
  <c r="N8" i="4"/>
  <c r="N35" i="4"/>
  <c r="M35" i="4"/>
  <c r="N36" i="4"/>
  <c r="M36" i="4"/>
  <c r="M30" i="4"/>
  <c r="N30" i="4"/>
  <c r="N7" i="4"/>
  <c r="M7" i="4"/>
  <c r="M23" i="4"/>
  <c r="N23" i="4"/>
  <c r="N22" i="4"/>
  <c r="M22" i="4"/>
  <c r="N21" i="4"/>
  <c r="M21" i="4"/>
  <c r="N37" i="4"/>
  <c r="M37" i="4"/>
  <c r="M11" i="4"/>
  <c r="N11" i="4"/>
  <c r="M33" i="4"/>
  <c r="N33" i="4"/>
  <c r="N16" i="4"/>
  <c r="M16" i="4"/>
  <c r="C12" i="4"/>
  <c r="K12" i="4" s="1"/>
  <c r="L12" i="4" s="1"/>
  <c r="C18" i="4"/>
  <c r="K18" i="4" s="1"/>
  <c r="L18" i="4" s="1"/>
  <c r="M18" i="4" l="1"/>
  <c r="N18" i="4"/>
  <c r="N12" i="4"/>
  <c r="M12" i="4"/>
  <c r="M3" i="4"/>
  <c r="N3" i="4"/>
  <c r="C27" i="4"/>
  <c r="K27" i="4" s="1"/>
  <c r="L27" i="4" s="1"/>
  <c r="C26" i="4"/>
  <c r="K26" i="4" s="1"/>
  <c r="L26" i="4" s="1"/>
  <c r="C9" i="4"/>
  <c r="K9" i="4" s="1"/>
  <c r="M26" i="4" l="1"/>
  <c r="N26" i="4"/>
  <c r="N27" i="4"/>
  <c r="M27" i="4"/>
  <c r="L9" i="4"/>
  <c r="B4" i="9"/>
  <c r="B7" i="9" s="1"/>
  <c r="K5" i="7"/>
  <c r="K7" i="7"/>
  <c r="K8" i="7"/>
  <c r="K9" i="7"/>
  <c r="K10" i="7"/>
  <c r="K16" i="7"/>
  <c r="K22" i="7"/>
  <c r="K24" i="7"/>
  <c r="K25" i="7"/>
  <c r="K27" i="7"/>
  <c r="K30" i="7"/>
  <c r="K31" i="7"/>
  <c r="K32" i="7"/>
  <c r="K33" i="7"/>
  <c r="K34" i="7"/>
  <c r="K3" i="7"/>
  <c r="O18" i="7"/>
  <c r="R18" i="7" s="1"/>
  <c r="O37" i="7"/>
  <c r="R37" i="7" s="1"/>
  <c r="O38" i="7"/>
  <c r="R38" i="7" s="1"/>
  <c r="C21" i="7"/>
  <c r="O21" i="7" s="1"/>
  <c r="C15" i="7"/>
  <c r="O15" i="7" s="1"/>
  <c r="C14" i="7"/>
  <c r="O14" i="7" s="1"/>
  <c r="O19" i="3"/>
  <c r="C36" i="7"/>
  <c r="O36" i="7" s="1"/>
  <c r="C29" i="7"/>
  <c r="O29" i="7" s="1"/>
  <c r="C28" i="7"/>
  <c r="O28" i="7" s="1"/>
  <c r="C26" i="7"/>
  <c r="O26" i="7" s="1"/>
  <c r="C17" i="7"/>
  <c r="O17" i="7" s="1"/>
  <c r="C13" i="7"/>
  <c r="O13" i="7" s="1"/>
  <c r="C6" i="7"/>
  <c r="O6" i="7" s="1"/>
  <c r="C4" i="7"/>
  <c r="O4" i="7" s="1"/>
  <c r="L4" i="3"/>
  <c r="L7" i="3"/>
  <c r="L8" i="3"/>
  <c r="L9" i="3"/>
  <c r="L10" i="3"/>
  <c r="L16" i="3"/>
  <c r="L17" i="3"/>
  <c r="L18" i="3"/>
  <c r="L19" i="3"/>
  <c r="L20" i="3"/>
  <c r="L22" i="3"/>
  <c r="L24" i="3"/>
  <c r="L25" i="3"/>
  <c r="L26" i="3"/>
  <c r="L27" i="3"/>
  <c r="L30" i="3"/>
  <c r="L31" i="3"/>
  <c r="L32" i="3"/>
  <c r="L33" i="3"/>
  <c r="L34" i="3"/>
  <c r="L38" i="3"/>
  <c r="L2" i="3"/>
  <c r="J3" i="3"/>
  <c r="J4" i="3"/>
  <c r="J5" i="3"/>
  <c r="J6" i="3"/>
  <c r="J7" i="3"/>
  <c r="J8" i="3"/>
  <c r="J9" i="3"/>
  <c r="J10" i="3"/>
  <c r="J11" i="3"/>
  <c r="J12" i="3"/>
  <c r="J13" i="3"/>
  <c r="J14" i="3"/>
  <c r="J15" i="3"/>
  <c r="J16" i="3"/>
  <c r="J17" i="3"/>
  <c r="J18" i="3"/>
  <c r="J19" i="3"/>
  <c r="J20" i="3"/>
  <c r="J21" i="3"/>
  <c r="J22" i="3"/>
  <c r="J23" i="3"/>
  <c r="J24" i="3"/>
  <c r="J25" i="3"/>
  <c r="J26" i="3"/>
  <c r="J27" i="3"/>
  <c r="J28" i="3"/>
  <c r="J29" i="3"/>
  <c r="J30" i="3"/>
  <c r="J31" i="3"/>
  <c r="J32" i="3"/>
  <c r="J33" i="3"/>
  <c r="J34" i="3"/>
  <c r="J35" i="3"/>
  <c r="J36" i="3"/>
  <c r="J37" i="3"/>
  <c r="J38" i="3"/>
  <c r="J2" i="3"/>
  <c r="N4" i="3"/>
  <c r="O4" i="3"/>
  <c r="N5" i="3"/>
  <c r="O8" i="3"/>
  <c r="N9" i="3"/>
  <c r="O9" i="3"/>
  <c r="N10" i="3"/>
  <c r="O10" i="3"/>
  <c r="O16" i="3"/>
  <c r="N17" i="3"/>
  <c r="O17" i="3"/>
  <c r="N18" i="3"/>
  <c r="O18" i="3"/>
  <c r="N19" i="3"/>
  <c r="O21" i="3"/>
  <c r="N22" i="3"/>
  <c r="O22" i="3"/>
  <c r="N24" i="3"/>
  <c r="O24" i="3"/>
  <c r="N25" i="3"/>
  <c r="O25" i="3"/>
  <c r="N26" i="3"/>
  <c r="O29" i="3"/>
  <c r="N30" i="3"/>
  <c r="O30" i="3"/>
  <c r="N31" i="3"/>
  <c r="O31" i="3"/>
  <c r="N32" i="3"/>
  <c r="O32" i="3"/>
  <c r="N33" i="3"/>
  <c r="O33" i="3"/>
  <c r="N34" i="3"/>
  <c r="O34" i="3"/>
  <c r="N37" i="3"/>
  <c r="O37" i="3"/>
  <c r="N38" i="3"/>
  <c r="O38" i="3"/>
  <c r="O2" i="3"/>
  <c r="N2" i="3"/>
  <c r="C5" i="3"/>
  <c r="L5" i="3" s="1"/>
  <c r="C37" i="3"/>
  <c r="L37" i="3" s="1"/>
  <c r="C36" i="3"/>
  <c r="L36" i="3" s="1"/>
  <c r="C35" i="3"/>
  <c r="L35" i="3" s="1"/>
  <c r="C29" i="3"/>
  <c r="L29" i="3" s="1"/>
  <c r="C28" i="3"/>
  <c r="L28" i="3" s="1"/>
  <c r="C26" i="3"/>
  <c r="C23" i="3"/>
  <c r="N23" i="3" s="1"/>
  <c r="C21" i="3"/>
  <c r="L21" i="3" s="1"/>
  <c r="C17" i="3"/>
  <c r="C15" i="3"/>
  <c r="C14" i="3"/>
  <c r="N14" i="3" s="1"/>
  <c r="C13" i="3"/>
  <c r="L13" i="3" s="1"/>
  <c r="C12" i="3"/>
  <c r="L12" i="3" s="1"/>
  <c r="C11" i="3"/>
  <c r="L11" i="3" s="1"/>
  <c r="C6" i="3"/>
  <c r="C3" i="3"/>
  <c r="L3" i="3" s="1"/>
  <c r="Q36" i="7" l="1"/>
  <c r="R36" i="7"/>
  <c r="P36" i="7"/>
  <c r="P4" i="7"/>
  <c r="R4" i="7"/>
  <c r="Q4" i="7"/>
  <c r="R28" i="7"/>
  <c r="S28" i="7" s="1"/>
  <c r="P28" i="7"/>
  <c r="Q28" i="7"/>
  <c r="P17" i="7"/>
  <c r="R17" i="7"/>
  <c r="S17" i="7" s="1"/>
  <c r="Q17" i="7"/>
  <c r="P29" i="7"/>
  <c r="R29" i="7"/>
  <c r="S29" i="7" s="1"/>
  <c r="Q29" i="7"/>
  <c r="Q15" i="7"/>
  <c r="P15" i="7"/>
  <c r="R15" i="7"/>
  <c r="S15" i="7" s="1"/>
  <c r="Q13" i="7"/>
  <c r="R13" i="7"/>
  <c r="S13" i="7" s="1"/>
  <c r="P13" i="7"/>
  <c r="P21" i="7"/>
  <c r="R21" i="7"/>
  <c r="Q21" i="7"/>
  <c r="Q26" i="7"/>
  <c r="P26" i="7"/>
  <c r="R26" i="7"/>
  <c r="S26" i="7" s="1"/>
  <c r="Q6" i="7"/>
  <c r="R6" i="7"/>
  <c r="P6" i="7"/>
  <c r="P14" i="7"/>
  <c r="Q14" i="7"/>
  <c r="R14" i="7"/>
  <c r="S14" i="7" s="1"/>
  <c r="Q18" i="7"/>
  <c r="P18" i="7"/>
  <c r="P37" i="7"/>
  <c r="Q37" i="7"/>
  <c r="P38" i="7"/>
  <c r="Q38" i="7"/>
  <c r="S6" i="7"/>
  <c r="S24" i="7"/>
  <c r="S33" i="7"/>
  <c r="S7" i="7"/>
  <c r="S25" i="7"/>
  <c r="S9" i="7"/>
  <c r="S37" i="7"/>
  <c r="S4" i="7"/>
  <c r="S21" i="7"/>
  <c r="S30" i="7"/>
  <c r="S18" i="7"/>
  <c r="S36" i="7"/>
  <c r="S5" i="7"/>
  <c r="S22" i="7"/>
  <c r="S32" i="7"/>
  <c r="S16" i="7"/>
  <c r="S34" i="7"/>
  <c r="S35" i="7"/>
  <c r="S10" i="7"/>
  <c r="S27" i="7"/>
  <c r="S38" i="7"/>
  <c r="S8" i="7"/>
  <c r="S31" i="7"/>
  <c r="S23" i="7"/>
  <c r="K15" i="7"/>
  <c r="M9" i="4"/>
  <c r="B5" i="9" s="1"/>
  <c r="N9" i="4"/>
  <c r="B6" i="9" s="1"/>
  <c r="K38" i="7"/>
  <c r="K18" i="7"/>
  <c r="N6" i="3"/>
  <c r="K17" i="7"/>
  <c r="K23" i="7"/>
  <c r="K14" i="7"/>
  <c r="K37" i="7"/>
  <c r="K29" i="7"/>
  <c r="K21" i="7"/>
  <c r="K13" i="7"/>
  <c r="K6" i="7"/>
  <c r="K26" i="7"/>
  <c r="K36" i="7"/>
  <c r="K28" i="7"/>
  <c r="K35" i="7"/>
  <c r="K4" i="7"/>
  <c r="C19" i="7"/>
  <c r="O19" i="7" s="1"/>
  <c r="R19" i="7" s="1"/>
  <c r="O27" i="3"/>
  <c r="O15" i="3"/>
  <c r="N20" i="3"/>
  <c r="N15" i="3"/>
  <c r="N7" i="3"/>
  <c r="O5" i="3"/>
  <c r="O7" i="3"/>
  <c r="O36" i="3"/>
  <c r="O28" i="3"/>
  <c r="O12" i="3"/>
  <c r="N29" i="3"/>
  <c r="N13" i="3"/>
  <c r="N36" i="3"/>
  <c r="N28" i="3"/>
  <c r="N12" i="3"/>
  <c r="L23" i="3"/>
  <c r="L15" i="3"/>
  <c r="O13" i="3"/>
  <c r="O35" i="3"/>
  <c r="O23" i="3"/>
  <c r="O11" i="3"/>
  <c r="O3" i="3"/>
  <c r="L14" i="3"/>
  <c r="L6" i="3"/>
  <c r="N35" i="3"/>
  <c r="N11" i="3"/>
  <c r="N3" i="3"/>
  <c r="O14" i="3"/>
  <c r="O6" i="3"/>
  <c r="Q19" i="7" l="1"/>
  <c r="P19" i="7"/>
  <c r="S19" i="7"/>
  <c r="S3" i="7"/>
  <c r="K19" i="7"/>
  <c r="C20" i="7"/>
  <c r="O20" i="7" s="1"/>
  <c r="R20" i="7" s="1"/>
  <c r="N27" i="3"/>
  <c r="O26" i="3"/>
  <c r="N8" i="3"/>
  <c r="N16" i="3"/>
  <c r="O12" i="7"/>
  <c r="R12" i="7" s="1"/>
  <c r="O20" i="3"/>
  <c r="N21" i="3"/>
  <c r="O11" i="7"/>
  <c r="R11" i="7" s="1"/>
  <c r="Q11" i="7" l="1"/>
  <c r="P11" i="7"/>
  <c r="P12" i="7"/>
  <c r="Q12" i="7"/>
  <c r="P20" i="7"/>
  <c r="Q20" i="7"/>
  <c r="S12" i="7"/>
  <c r="S20" i="7"/>
  <c r="K12" i="7"/>
  <c r="K11" i="7"/>
  <c r="K20" i="7"/>
  <c r="B6" i="10" l="1"/>
  <c r="S11" i="7"/>
  <c r="B4" i="10"/>
  <c r="B7" i="10" s="1"/>
  <c r="B5" i="10"/>
</calcChain>
</file>

<file path=xl/sharedStrings.xml><?xml version="1.0" encoding="utf-8"?>
<sst xmlns="http://schemas.openxmlformats.org/spreadsheetml/2006/main" count="872" uniqueCount="408">
  <si>
    <t>Recommended Workflow</t>
  </si>
  <si>
    <t>User Legend</t>
  </si>
  <si>
    <t>CMF</t>
  </si>
  <si>
    <t>Average Number of Suspected Serious Injuries per Crash:</t>
  </si>
  <si>
    <t>Weighted Average CMF for High-Visibility Crosswalk:</t>
  </si>
  <si>
    <t>Elvik Illumination CMF for Injury Crashes:</t>
  </si>
  <si>
    <t>Average Cost of an LRSP:</t>
  </si>
  <si>
    <t>Advanced Yield or Stop Markings and Signs:</t>
  </si>
  <si>
    <t>https://cmfclearinghouse.fhwa.dot.gov/detail.php?facid=9018</t>
  </si>
  <si>
    <t>Average CMF for Crosswalk Visibility Enhancements:</t>
  </si>
  <si>
    <t>Weighted Average CMF for Walkways:</t>
  </si>
  <si>
    <t>https://cmfclearinghouse.fhwa.dot.gov/detail.php?facid=2379</t>
  </si>
  <si>
    <t>https://cmfclearinghouse.fhwa.dot.gov/detail.php?facid=2376</t>
  </si>
  <si>
    <t>Weighted Average CMF for Intersection Lighting:</t>
  </si>
  <si>
    <t>PSC Category</t>
  </si>
  <si>
    <t>Proven Safety Countermeasure</t>
  </si>
  <si>
    <t>CMF for KA Crashes</t>
  </si>
  <si>
    <t>Target Crash Type for CMFs</t>
  </si>
  <si>
    <t>Source</t>
  </si>
  <si>
    <t>Notes</t>
  </si>
  <si>
    <t>Installation Unit</t>
  </si>
  <si>
    <t>Service Life</t>
  </si>
  <si>
    <t>Unit Cost Estimate</t>
  </si>
  <si>
    <t>Sites Treated</t>
  </si>
  <si>
    <t>Investment</t>
  </si>
  <si>
    <t>CM Score</t>
  </si>
  <si>
    <t>Average KA Crash Frequency per Unit</t>
  </si>
  <si>
    <t>Service Life, Lives Saved</t>
  </si>
  <si>
    <t>Service Life, Serious Injuries Prevented</t>
  </si>
  <si>
    <t>Speed Management</t>
  </si>
  <si>
    <t>Appropriate Speed Limits for All Road Users - Adjusting Speed Limits at Corridor Level</t>
  </si>
  <si>
    <t>All</t>
  </si>
  <si>
    <t>https://highways.dot.gov/safety/speed-management/noteworthy-practice-booklet-speed-management/case-study-7-noteworthy-speed</t>
  </si>
  <si>
    <t>Extracted from the PSC documentation</t>
  </si>
  <si>
    <t>Mile</t>
  </si>
  <si>
    <t>Speed Safety Cameras</t>
  </si>
  <si>
    <t>https://highways.dot.gov/safety/proven-safety-countermeasures/speed-safety-cameras</t>
  </si>
  <si>
    <t>Average of injury crash reductions reported in the PSC documentation</t>
  </si>
  <si>
    <t>Camera Unit</t>
  </si>
  <si>
    <t>Variable Speed Limits</t>
  </si>
  <si>
    <t>https://www.cmfclearinghouse.org/detail.php?facid=11003</t>
  </si>
  <si>
    <t>Cited in the PSC documentation</t>
  </si>
  <si>
    <t>Pedestrian/Bicyclist</t>
  </si>
  <si>
    <t>Bicycle Lanes</t>
  </si>
  <si>
    <t>https://highways.dot.gov/safety/proven-safety-countermeasures/bicycle-lanes</t>
  </si>
  <si>
    <t>Average of results reported in the PSC documentation for all crashes</t>
  </si>
  <si>
    <t>MIle</t>
  </si>
  <si>
    <t>Crosswalk Visibility Enhancements</t>
  </si>
  <si>
    <t>Vehicle/Pedestrian Crashes</t>
  </si>
  <si>
    <t>https://highways.dot.gov/safety/proven-safety-countermeasures/crosswalk-visibility-enhancements</t>
  </si>
  <si>
    <t>Average of results reported in the PSC documentation</t>
  </si>
  <si>
    <t>Crossing Location</t>
  </si>
  <si>
    <t>Leading Pedestrian Interval</t>
  </si>
  <si>
    <t>https://www.cmfclearinghouse.org/detail.php?facid=9917</t>
  </si>
  <si>
    <t>Same study as cited in PSC documentation, selected CMF for KABC crashes</t>
  </si>
  <si>
    <t>Signalized Intersection</t>
  </si>
  <si>
    <t>Medians and Pedestrian Refuge Islands in Urban and Suburban Areas</t>
  </si>
  <si>
    <t>https://www.cmfclearinghouse.org/detail.php?facid=9014</t>
  </si>
  <si>
    <t>Accounted for injury crashes of all types</t>
  </si>
  <si>
    <t>Pedestrian Hybrid Beacons</t>
  </si>
  <si>
    <t>https://www.cmfclearinghouse.org/detail.php?facid=2917</t>
  </si>
  <si>
    <t>Cited in PSC documentation</t>
  </si>
  <si>
    <t>Rectangular Rapid Flashing Beacons (RRFB)</t>
  </si>
  <si>
    <t>https://www.cmfclearinghouse.org/detail.php?facid=9024</t>
  </si>
  <si>
    <t>Road Diets (Roadway Reconfiguration)</t>
  </si>
  <si>
    <t>https://highways.dot.gov/safety/proven-safety-countermeasures/road-diets-roadway-reconfiguration#psc-footnote</t>
  </si>
  <si>
    <t>Walkways</t>
  </si>
  <si>
    <t>https://highways.dot.gov/safety/proven-safety-countermeasures/walkways#psc-footnote</t>
  </si>
  <si>
    <t>Roadway Departure</t>
  </si>
  <si>
    <t>Enhanced Delineation on Horizontal Curves</t>
  </si>
  <si>
    <t>Non-intersection</t>
  </si>
  <si>
    <t>https://highways.dot.gov/safety/proven-safety-countermeasures/enhanced-delineation-horizontal-curves</t>
  </si>
  <si>
    <t>Horizontal Curve</t>
  </si>
  <si>
    <t>Longitudinal Rumble Strips and Stripes on Two-Lane Roads - Centerline Rumble Strips</t>
  </si>
  <si>
    <t>Head-On</t>
  </si>
  <si>
    <t>https://highways.dot.gov/safety/proven-safety-countermeasures/longitudinal-rumble-strips-and-stripes-two-lane-roads</t>
  </si>
  <si>
    <t>Longitudinal Rumble Strips and Stripes on Two-Lane Roads - Edgeline or Shoulder Rumble Strips</t>
  </si>
  <si>
    <t>Single-Vehicle Run Off Road</t>
  </si>
  <si>
    <t>Safety Edge</t>
  </si>
  <si>
    <t>https://www.cmfclearinghouse.org/detail.php?facid=9205</t>
  </si>
  <si>
    <t>Wider Edge Lines</t>
  </si>
  <si>
    <t>Non-Intersection</t>
  </si>
  <si>
    <t>https://highways.dot.gov/safety/proven-safety-countermeasures/wider-edge-lines</t>
  </si>
  <si>
    <t>Median Barrier - Concrete</t>
  </si>
  <si>
    <t>Cross-Median</t>
  </si>
  <si>
    <t>https://www.cmfclearinghouse.org/detail.php?facid=7040</t>
  </si>
  <si>
    <t>Median Barrier - Metal</t>
  </si>
  <si>
    <t>Median Barrier - Cable</t>
  </si>
  <si>
    <t>Roadside Design Improvements at Curves - Flatten Sideslope</t>
  </si>
  <si>
    <t>Single-Vehicle Crashes</t>
  </si>
  <si>
    <t>https://highways.dot.gov/safety/proven-safety-countermeasures/roadside-design-improvements-curves</t>
  </si>
  <si>
    <t>Roadside Design Improvements at Curves - Widen Clear Zone</t>
  </si>
  <si>
    <t>Roadside Design Improvements at Curves - Add or Widen Shoulder</t>
  </si>
  <si>
    <t>CMF ID 6658, 6662, 7756, 7757</t>
  </si>
  <si>
    <t>Average of selected CMFs</t>
  </si>
  <si>
    <t>Roadside Design Improvements at Curves - Roadside Barrier</t>
  </si>
  <si>
    <t>https://www.cmfclearinghouse.org/detail.php?facid=10309</t>
  </si>
  <si>
    <t>Provides general summary of roadside barrier on horizontal curves</t>
  </si>
  <si>
    <t>Intersections</t>
  </si>
  <si>
    <t>Backplates with Retroreflective Borders</t>
  </si>
  <si>
    <t>https://highways.dot.gov/safety/proven-safety-countermeasures/backplates-retroreflective-borders</t>
  </si>
  <si>
    <t>Corridor Access Management</t>
  </si>
  <si>
    <t>https://highways.dot.gov/safety/proven-safety-countermeasures/corridor-access-management</t>
  </si>
  <si>
    <t>Average of fatal and injury results reported in the PSC documentation</t>
  </si>
  <si>
    <t>Dedicated Left-Turn Lanes at Intersections</t>
  </si>
  <si>
    <t>https://highways.dot.gov/safety/proven-safety-countermeasures/dedicated-left-and-right-turn-lanes-intersections</t>
  </si>
  <si>
    <t>Intersection</t>
  </si>
  <si>
    <t>Dedicated Right-Turn Lanes at Intersections</t>
  </si>
  <si>
    <t>Reuced Left-Turn Conflict Intersections - RCUT</t>
  </si>
  <si>
    <t>https://highways.dot.gov/safety/proven-safety-countermeasures/reduced-left-turn-conflict-intersections</t>
  </si>
  <si>
    <t>Average of RCUT results reported in the PSC documentation</t>
  </si>
  <si>
    <t>Reuced Left-Turn Conflict Intersections - MUT</t>
  </si>
  <si>
    <t>Roundabouts</t>
  </si>
  <si>
    <t>https://highways.dot.gov/safety/proven-safety-countermeasures/roundabouts</t>
  </si>
  <si>
    <t>Systemic Application of Multiple Low-Cost Countermeasures at Stop-Controlled Intersections</t>
  </si>
  <si>
    <t>https://highways.dot.gov/safety/proven-safety-countermeasures/systemic-application-multiple-low-cost-countermeasures-stop</t>
  </si>
  <si>
    <t>Cited in PSC documentation for fatal and injury crashes at all locations</t>
  </si>
  <si>
    <t>Yellow Change Intervals</t>
  </si>
  <si>
    <t>https://highways.dot.gov/safety/proven-safety-countermeasures/yellow-change-intervals</t>
  </si>
  <si>
    <t>Cited in PSC documentation for injury crashes</t>
  </si>
  <si>
    <t>Crosscutting</t>
  </si>
  <si>
    <t>Local Road Safety Plans - Implement Recommended Actions and Projects</t>
  </si>
  <si>
    <t>https://highways.dot.gov/safety/proven-safety-countermeasures/local-road-safety-plans</t>
  </si>
  <si>
    <t>Cited in PSC documentation for fatal and serious injury crashes on County roads</t>
  </si>
  <si>
    <t>Local Agency</t>
  </si>
  <si>
    <t>Pavement Friction Management - HFST</t>
  </si>
  <si>
    <t>https://highways.dot.gov/safety/proven-safety-countermeasures/pavement-friction-management</t>
  </si>
  <si>
    <t>Site</t>
  </si>
  <si>
    <t>Road Safety Audits - Implement Improvements</t>
  </si>
  <si>
    <t>https://highways.dot.gov/safety/proven-safety-countermeasures/road-safety-audit</t>
  </si>
  <si>
    <t>Lighting - Intersection</t>
  </si>
  <si>
    <t>Nighttime</t>
  </si>
  <si>
    <t>https://highways.dot.gov/safety/proven-safety-countermeasures/lighting</t>
  </si>
  <si>
    <t>Average of results reported in the PSC documentation for nighttime crashes</t>
  </si>
  <si>
    <t>Lighting - Segments</t>
  </si>
  <si>
    <t>Cited in PSC documentation for nghttime injury crashes on highways</t>
  </si>
  <si>
    <t>BCR</t>
  </si>
  <si>
    <t>Estimated Benefit</t>
  </si>
  <si>
    <t>Estimated Crashes Prevented</t>
  </si>
  <si>
    <t>Lives Saved</t>
  </si>
  <si>
    <t>Serious Injuries Prevented</t>
  </si>
  <si>
    <t>https://highways.dot.gov/safety/proven-safety-countermeasures/safetyedgesm</t>
  </si>
  <si>
    <t>Used the lower end of the range cited in PSC documentation.</t>
  </si>
  <si>
    <t>https://www.fhwa.dot.gov/publications/research/safety/18060/18060.pdf</t>
  </si>
  <si>
    <t>Low end of range documented in the PSC cited report.</t>
  </si>
  <si>
    <t>https://rosap.ntl.bts.gov/view/dot/60218</t>
  </si>
  <si>
    <t>Low end of reported BCR</t>
  </si>
  <si>
    <t>BCR reported in the cited report</t>
  </si>
  <si>
    <t>https://ascelibrary.org/doi/abs/10.1061/JTEPBS.TEENG-7507</t>
  </si>
  <si>
    <t>Reported in the abstract of the paper.</t>
  </si>
  <si>
    <t>https://www.michigan.gov/mdot/-/media/Project/Websites/MDOT/Programs/Research-Administration/Final-Reports/SPR-1734-Report.pdf</t>
  </si>
  <si>
    <t>Average BCR for advanced stop/yield markings and sign, LED crosswalk lighting on an existing mast arm, street light pole to LED lighting, street light pole and LED lighting, and high visibility crosswalks.</t>
  </si>
  <si>
    <t>Reported in Table 6-4</t>
  </si>
  <si>
    <t>https://highways.dot.gov/sites/fhwa.dot.gov/files/2023-08/PA-HSIP-2022.pdf</t>
  </si>
  <si>
    <t>Reported in the executive summary.</t>
  </si>
  <si>
    <t>Average value for BCR reported for right-turn lanes</t>
  </si>
  <si>
    <t>Reported on the PSC flyer</t>
  </si>
  <si>
    <t>Based on BCR for RSAs</t>
  </si>
  <si>
    <t>Both RSAs and LRSPs are activiites that result in programmed projects. This BCR assumes a certain value of project funding generated from the LRSP, a BCR for those funds in line with an RSA, and an average cost to develop an LRSP.</t>
  </si>
  <si>
    <t>https://www.fhwa.dot.gov/publications/research/safety/09045/#eco</t>
  </si>
  <si>
    <t>Low end of reported BCR in FHWA research.</t>
  </si>
  <si>
    <t>Average value for BCR reported for left-turn lanes</t>
  </si>
  <si>
    <t>Reported in the PSC flyer</t>
  </si>
  <si>
    <t>HSIP Report Project Evaluations</t>
  </si>
  <si>
    <t>Average of project subtype On Road Bicycle Lane, Miscellaneous pedestrians and bicyclists, and Pedestrian and Bicyclists - Other</t>
  </si>
  <si>
    <t>https://mutcd.fhwa.dot.gov/res-ia_retroborder.htm</t>
  </si>
  <si>
    <t>Cited in MUTCD interim approval - Project 216 of the National Committee on Uniform Traffic Control of Canada</t>
  </si>
  <si>
    <t>https://highways.dot.gov/safety/proven-safety-countermeasures/variable-speed-limits</t>
  </si>
  <si>
    <t>Lowest reported BCR value in the PSC range</t>
  </si>
  <si>
    <t>https://mdl.mndot.gov/items/202006</t>
  </si>
  <si>
    <t>Minnesota found a 13 percent reduction in total crashes for speed study justified speed limit modifications. Assuming a speed study and change to speed limit costs $100,000 per corridor and the average corridor has 5 crashes per year, this produces a reduction of !0.5 crashes per year. Assuming an average weighted crash cost of $100,000 and a service life of 15 years, the BCR would be along the lines of 7.5.</t>
  </si>
  <si>
    <t>https://www.michigan.gov/mdot/-/media/Project/Websites/MDOT/Programs/Research-Administration/Final-Reports/SPR-1725-Report.pdf</t>
  </si>
  <si>
    <t>Average for all sites using Empirical Bayes</t>
  </si>
  <si>
    <t>https://ascelibrary.org/doi/10.1061/%28ASCE%290733-947X%282006%29132%3A4%28269%29</t>
  </si>
  <si>
    <t>Average of reported BCR values from Table X</t>
  </si>
  <si>
    <t>https://www.nhtsa.gov/book/countermeasures-that-work/speeding-and-speed-management/countermeasures/enforcement/speed-safety-camera-enforcement</t>
  </si>
  <si>
    <t>Citeation from Gains et al. (2004)</t>
  </si>
  <si>
    <t>Value reported in the abstract</t>
  </si>
  <si>
    <t>https://www.dot.state.mn.us/accessmanagement/docs/pdf/research/statisticalrelationships.pdf</t>
  </si>
  <si>
    <t>Average of values reported in chapter 7 tables</t>
  </si>
  <si>
    <t>https://www.fhwa.dot.gov/publications/research/safety/17082/006.cfm</t>
  </si>
  <si>
    <t>Recommended BCR from Table 16 for safety only</t>
  </si>
  <si>
    <t>Midpoint of BCR range for Add Paved Shoulder</t>
  </si>
  <si>
    <t>Average of project subtype Pedestrian Hybrid Beacon for 2017-2023</t>
  </si>
  <si>
    <t>Average BCR for sidewalks and widened shoulders from Table 6-4</t>
  </si>
  <si>
    <t>HSIP Report Project Evalautions</t>
  </si>
  <si>
    <t>Average BCR reported for Modify traffic signal timing - general retiming</t>
  </si>
  <si>
    <t>https://www.fhwa.dot.gov/publications/research/safety/21075/21075.pdf</t>
  </si>
  <si>
    <t>Average of values reported for protecting vehicles from utility poles with roadside barrier</t>
  </si>
  <si>
    <t>Average of two values reported on page 50</t>
  </si>
  <si>
    <t>Service Life Unit Cost Estimate</t>
  </si>
  <si>
    <t>Average of 5-star CMFs reported in PSC-cited report (CMF ID 3362, 3347, 3350)  - all crash types, KABC severity</t>
  </si>
  <si>
    <t>Average of 4-star CMFs reported in PSC-cited report for shoulder rumble strips (CMF ID 3426, 3430, 3431, 3433, 3478) - all crash types, KABC severity</t>
  </si>
  <si>
    <t>Average of All-crash CMFs from report cited in PSC documentation (CMF ID 4609, 4610, 4611, 4612, 4613, 4614, 4615, 4616, 4617, 4618, 4619, 4620, 4621, 4622)</t>
  </si>
  <si>
    <t>Stop-Controlled Intersection</t>
  </si>
  <si>
    <t>Average of results for intersection illumination in report cited by PSC (CMF ID 2379, 2376)</t>
  </si>
  <si>
    <t>Average of results for highway illumination in report cited by PSC (CMF ID 575, 574)</t>
  </si>
  <si>
    <t>Variable speed limits (Corridor)</t>
  </si>
  <si>
    <t>NHTSA</t>
  </si>
  <si>
    <t>Conservative selection from NHTSA’s cost range</t>
  </si>
  <si>
    <t>Bicycle lanes (Miles)</t>
  </si>
  <si>
    <t>PedBike Info</t>
  </si>
  <si>
    <t>Grown from 2013 to 2023 using CPI</t>
  </si>
  <si>
    <t>Crosswalk visibility enhancements (Crossing)</t>
  </si>
  <si>
    <t>FHWA STEP Studio</t>
  </si>
  <si>
    <t>Included high-visibility markings, curb extensions, advance signage, lines, and markings.</t>
  </si>
  <si>
    <t>LPI (Intersection)</t>
  </si>
  <si>
    <t>High end of the range reported in the source</t>
  </si>
  <si>
    <t>Medians and pedestrian refuge islands in urban and suburban areas (Crossing)</t>
  </si>
  <si>
    <t>Average cost reported in the source</t>
  </si>
  <si>
    <t>PHB (Crossing)</t>
  </si>
  <si>
    <t>RRFB (Crossing)</t>
  </si>
  <si>
    <t>--</t>
  </si>
  <si>
    <t>Walkways (Miles)</t>
  </si>
  <si>
    <t>State Bid Tabs</t>
  </si>
  <si>
    <t>5' one side, 4-inch depth.</t>
  </si>
  <si>
    <t>Enhanced delineation for horizontal curves (Curve)</t>
  </si>
  <si>
    <t>FHWA Research</t>
  </si>
  <si>
    <t>Assume 4 signs plus miscellaneous enhancements</t>
  </si>
  <si>
    <t>Longitudinal rumble strips and stripes on two-lane roads (Miles)</t>
  </si>
  <si>
    <t>Ground-in rumble strips, 16"</t>
  </si>
  <si>
    <t>Median barriers (Miles)</t>
  </si>
  <si>
    <t>Cable median barrier</t>
  </si>
  <si>
    <t>Clearing and grubbing</t>
  </si>
  <si>
    <t>Roadside design improvements at curves (Miles) – Flatten roadside slope</t>
  </si>
  <si>
    <t>Earthwork, converted from cubic yards assuming one mile in length, 15’ from each side of the road, and one yard of depth</t>
  </si>
  <si>
    <t>Roadside design improvements at curves (Miles) – Widen paved shoulder</t>
  </si>
  <si>
    <t>FHWA</t>
  </si>
  <si>
    <t>Based on cost category from FHWA</t>
  </si>
  <si>
    <t>SafetyEdge (Miles)</t>
  </si>
  <si>
    <t>Assumed incidental to paving project costs</t>
  </si>
  <si>
    <t>Wider edge lines (Miles)</t>
  </si>
  <si>
    <t>Doubled unit cost to assume two lines on each road.</t>
  </si>
  <si>
    <t>Backplates with retroreflective borders (Intersections)</t>
  </si>
  <si>
    <t>Connecticut</t>
  </si>
  <si>
    <t>Assumed 10 signal heads per intersection plus contingency costs</t>
  </si>
  <si>
    <t>Corridor access management (project)</t>
  </si>
  <si>
    <t>State HSIP Report Project Listing</t>
  </si>
  <si>
    <t>Dedicated left- and right-turn lanes at intersections (Intersection)</t>
  </si>
  <si>
    <t>Assume one turn lane per intersection</t>
  </si>
  <si>
    <t>Reduced left-turn conflict intersections (Intersection)</t>
  </si>
  <si>
    <t>FHWA 2019 HSIP Summary Report</t>
  </si>
  <si>
    <t>All auxiliary turn lane projects - both signalized and stop-controlled intersections</t>
  </si>
  <si>
    <t>Roundabouts (Intersection)</t>
  </si>
  <si>
    <t>Per project</t>
  </si>
  <si>
    <t>Systemic application of multiple low-cost countermeasures at stop-controlled intersections (Intersection)</t>
  </si>
  <si>
    <t>Rounded from $6,000 per intersection in early 2010s in South Carolina</t>
  </si>
  <si>
    <t>Yellow change intervals (Intersection)</t>
  </si>
  <si>
    <t>Estimated cost for retiming and programming a signal</t>
  </si>
  <si>
    <t>Lighting (Luminaire System)</t>
  </si>
  <si>
    <t>Averaged high mast light pole (furnish and install)</t>
  </si>
  <si>
    <t>Pavement friction management (HFST) (Curve)</t>
  </si>
  <si>
    <t>Converted from square yards assuming average curve is 0.12 miles long and 26 feet wide</t>
  </si>
  <si>
    <t> </t>
  </si>
  <si>
    <t>https://cmfclearinghouse.fhwa.dot.gov/study_detail.php?stid=492</t>
  </si>
  <si>
    <t>Average BCR reported for total crashes in Table 7 of source</t>
  </si>
  <si>
    <t>Metric</t>
  </si>
  <si>
    <t>Total Results</t>
  </si>
  <si>
    <t>BCR Template</t>
  </si>
  <si>
    <t>PSC Template</t>
  </si>
  <si>
    <t>6658, 6662, 7756, 7757</t>
  </si>
  <si>
    <t>BCR Results</t>
  </si>
  <si>
    <t>CM Score Results</t>
  </si>
  <si>
    <t>KA Crashes Prevented</t>
  </si>
  <si>
    <t>Estimated Benefits from KA Crash Reduction</t>
  </si>
  <si>
    <t>Estimated BCR from KA Crashes</t>
  </si>
  <si>
    <t>Total Investment:</t>
  </si>
  <si>
    <t>Total Estimated Benefit:</t>
  </si>
  <si>
    <t>Total Lives Saved:</t>
  </si>
  <si>
    <t>Total Serious Injuries Prevented:</t>
  </si>
  <si>
    <t>Average BCR:</t>
  </si>
  <si>
    <t>Instructions</t>
  </si>
  <si>
    <t>Introduction and Instructions</t>
  </si>
  <si>
    <t>Required Data Elements</t>
  </si>
  <si>
    <t>Average LRSP Implementation Funds:</t>
  </si>
  <si>
    <t>Optional Data Elements</t>
  </si>
  <si>
    <t>Number of Intersections on the System:</t>
  </si>
  <si>
    <t>Centerline Miles of Road on the System:</t>
  </si>
  <si>
    <t>User Input</t>
  </si>
  <si>
    <t>Median Barrier - Metal (i.e., guardrail)</t>
  </si>
  <si>
    <t>Reduced Left-Turn Conflict Intersections</t>
  </si>
  <si>
    <t>Reported BCR of 5.5 for all crashes.</t>
  </si>
  <si>
    <t>https://highways.dot.gov/sites/fhwa.dot.gov/files/2023-03/Minnesota%20Department%20of%20Transportation%27s%20Street%20Lighting%20at%20Rural%20Intersections.pdf</t>
  </si>
  <si>
    <t>Reported BCR value for rural intersections.</t>
  </si>
  <si>
    <t>Customization Inputs for CM Score Analysis</t>
  </si>
  <si>
    <t>Customization Inputs for BCR Analysis</t>
  </si>
  <si>
    <t>Input</t>
  </si>
  <si>
    <t>Average Number of Fatal Injuries per KA Crash:</t>
  </si>
  <si>
    <t>Average Number of Suspected Serious Injuries per KA Crash:</t>
  </si>
  <si>
    <t>Average Number of Fatal Injuries per Crash:</t>
  </si>
  <si>
    <t>Weighted Average Crash Cost for All Severities:</t>
  </si>
  <si>
    <t>Number of K Crashes:</t>
  </si>
  <si>
    <t>Number of A Crashes:</t>
  </si>
  <si>
    <t>Average K Crash Cost:</t>
  </si>
  <si>
    <t>Average A Crash Cost:</t>
  </si>
  <si>
    <t>Proportion of KA Intersection Crashes that Involve a Pedestrian:</t>
  </si>
  <si>
    <t>Proportion of KA Intersection Crashes in which Manner of Collision is Angle, Head-On, Left-Turn, Rear-End, Right-Turn, or Sideswipe:</t>
  </si>
  <si>
    <t>Proportion of KA Intersection Crashes in the Manner of Collision is Angle:</t>
  </si>
  <si>
    <t>Proportion of KA Segment Crashes that Involve a Pedestrian:</t>
  </si>
  <si>
    <t>Proportion of KA Mid-Block Crashes that Involve a Pedestrian:</t>
  </si>
  <si>
    <t>CMF Source</t>
  </si>
  <si>
    <t>https://cmfclearinghouse.fhwa.dot.gov/detail.php?facid=4123</t>
  </si>
  <si>
    <t>https://cmfclearinghouse.fhwa.dot.gov/detail.php?facid=4124</t>
  </si>
  <si>
    <t>CMF Context</t>
  </si>
  <si>
    <t>Average of Florida results (https://trid.trb.org/View/758027) reported in PSC Flyer</t>
  </si>
  <si>
    <t>Weighted Average CMF for RRFBs:</t>
  </si>
  <si>
    <t>CMF for High-Visibility Crosswalk - Vehicle/Pedestrian Crashes:</t>
  </si>
  <si>
    <t>n/a</t>
  </si>
  <si>
    <t>CMF for High-Visibility Crosswalk - Angle, Head-On, Left-Turn, Rear-End, Right-Turn, or Sideswipe Crashes:</t>
  </si>
  <si>
    <t>K Crashes: https://cmfclearinghouse.fhwa.dot.gov/detail.php?facid=437; A Crashes: https://cmfclearinghouse.fhwa.dot.gov/detail.php?facid=438</t>
  </si>
  <si>
    <t>Walkway CMF for Vehicle/Pedestrian Crashes</t>
  </si>
  <si>
    <t>Intersection Lighting CMF for Vehicle/Pedestrian Crashes:</t>
  </si>
  <si>
    <t>Intersection Lighting CMF for Angle Crashes:</t>
  </si>
  <si>
    <t>Assumed CMF = 1 for other crash types</t>
  </si>
  <si>
    <t>RRFB CMF for Vehicle/Pedestrian Crashes:</t>
  </si>
  <si>
    <t>Extracted from the PSC documentation. Note that this is based on the Seattle study in which speed limits were 20 mph on non-arterials roadways and 25 mph on arterial roadways.</t>
  </si>
  <si>
    <t>Average Cost of a KA Crash:</t>
  </si>
  <si>
    <t>CMF Clearinghouse ID(s)</t>
  </si>
  <si>
    <t>2921, 7718, 7582</t>
  </si>
  <si>
    <t>Average of injury crash reductions reported in the PSC documentation. CMF IDs: 2921, 7718, and 7582.</t>
  </si>
  <si>
    <t>https://cmfclearinghouse.fhwa.dot.gov/detail.php?facid=2921; https://cmfclearinghouse.fhwa.dot.gov/detail.php?facid=7718; https://cmfclearinghouse.fhwa.dot.gov/detail.php?facid=7582</t>
  </si>
  <si>
    <t>10738, 10742</t>
  </si>
  <si>
    <t>Average of results reported in the PSC documentation for all crashes. CMF IDs 10738 and 10742.</t>
  </si>
  <si>
    <t>https://cmfclearinghouse.fhwa.dot.gov/detail.php?facid=10738; https://cmfclearinghouse.fhwa.dot.gov/detail.php?facid=10742</t>
  </si>
  <si>
    <t>4123, 4124, 437, 438, 9018</t>
  </si>
  <si>
    <t>Average of results reported in the PSC documentation, weighted for all crashes. CMFs include 4123, 4124, 437, 438, 9018.</t>
  </si>
  <si>
    <t>https://cmfclearinghouse.fhwa.dot.gov/detail.php?facid=4123; https://cmfclearinghouse.fhwa.dot.gov/detail.php?facid=4124; https://cmfclearinghouse.fhwa.dot.gov/detail.php?facid=437; https://cmfclearinghouse.fhwa.dot.gov/detail.php?facid=438; https://cmfclearinghouse.fhwa.dot.gov/detail.php?facid=9018</t>
  </si>
  <si>
    <t>https://trid.trb.org/View/758027</t>
  </si>
  <si>
    <t>2431, 2432, 2438, 8978, 10362, 10312, 9167</t>
  </si>
  <si>
    <t xml:space="preserve">https://www.cmfclearinghouse.org/detail.php?facid=2431; https://www.cmfclearinghouse.org/detail.php?facid=2432; https://www.cmfclearinghouse.org/detail.php?facid=2438; https://www.cmfclearinghouse.org/detail.php?facid=8978; https://www.cmfclearinghouse.org/detail.php?facid=10362; https://www.cmfclearinghouse.org/detail.php?facid=10312; https://www.cmfclearinghouse.org/detail.php?facid=9167; </t>
  </si>
  <si>
    <t>Average of results reported in the PSC documentation. CMFs include 2431, 2432, 2438, 8978, 10362, 10312, and 9167</t>
  </si>
  <si>
    <t>3362, 3347, 3350</t>
  </si>
  <si>
    <t>https://www.cmfclearinghouse.org/detail.php?facid=3362; https://www.cmfclearinghouse.org/detail.php?facid=3347; https://www.cmfclearinghouse.org/detail.php?facid=3350</t>
  </si>
  <si>
    <t xml:space="preserve"> 3426, 3430, 3431, 3433, 3478</t>
  </si>
  <si>
    <t>https://www.cmfclearinghouse.org/detail.php?facid=3426; https://www.cmfclearinghouse.org/detail.php?facid=3430; https://www.cmfclearinghouse.org/detail.php?facid=3431; https://www.cmfclearinghouse.org/detail.php?facid=3433; https://www.cmfclearinghouse.org/detail.php?facid=3478</t>
  </si>
  <si>
    <t>https://www.cmfclearinghouse.org/detail.php?facid=4737; https://rosap.ntl.bts.gov/view/dot/23053</t>
  </si>
  <si>
    <t>4737, n/a</t>
  </si>
  <si>
    <t>Average of results reported in the PSC documentation. One study is in the clearinghouse: ID 4737.</t>
  </si>
  <si>
    <t>Weighted average of K and ABC CMFs for all median types and all crash types (CMF ID 42, 43)</t>
  </si>
  <si>
    <t>42, 43</t>
  </si>
  <si>
    <t>4609, 4610, 4611, 4612, 4613, 4614, 4615, 4616, 4617, 4618, 4619, 4620, 4621, 4622</t>
  </si>
  <si>
    <t>2379, 2376</t>
  </si>
  <si>
    <t>575, 574</t>
  </si>
  <si>
    <t>https://www.cmfclearinghouse.org/detail.php?facid=42; https://www.cmfclearinghouse.org/detail.php?facid=43</t>
  </si>
  <si>
    <t>https://www.cmfclearinghouse.org/detail.php?facid=4609; https://www.cmfclearinghouse.org/detail.php?facid=4610; https://www.cmfclearinghouse.org/detail.php?facid=4611; https://www.cmfclearinghouse.org/detail.php?facid=4612; https://www.cmfclearinghouse.org/detail.php?facid=4613; https://www.cmfclearinghouse.org/detail.php?facid=4614; https://www.cmfclearinghouse.org/detail.php?facid=4615; https://www.cmfclearinghouse.org/detail.php?facid=4616; https://www.cmfclearinghouse.org/detail.php?facid=4617; https://www.cmfclearinghouse.org/detail.php?facid=4618; https://www.cmfclearinghouse.org/detail.php?facid=4619; https://www.cmfclearinghouse.org/detail.php?facid=4620; https://www.cmfclearinghouse.org/detail.php?facid=4621; https://www.cmfclearinghouse.org/detail.php?facid=4622;</t>
  </si>
  <si>
    <t>35, 36</t>
  </si>
  <si>
    <t>https://www.cmfclearinghouse.org/detail.php?facid=35; https://www.cmfclearinghouse.org/detail.php?facid=36</t>
  </si>
  <si>
    <t>Average of results reported in the PSC documentation. CMF 35 and 36.</t>
  </si>
  <si>
    <t xml:space="preserve">https://www.cmfclearinghouse.org/detail.php?facid=6658; https://www.cmfclearinghouse.org/detail.php?facid=6662; https://www.cmfclearinghouse.org/detail.php?facid=7756; https://www.cmfclearinghouse.org/detail.php?facid=7757; </t>
  </si>
  <si>
    <t>Average of selected CMFs: 6658, 6662, 7756, 7757</t>
  </si>
  <si>
    <t>https://cmfclearinghouse.fhwa.dot.gov/detail.php?facid=1410</t>
  </si>
  <si>
    <t>178, 179</t>
  </si>
  <si>
    <t>https://cmfclearinghouse.fhwa.dot.gov/detail.php?facid=178; https://cmfclearinghouse.fhwa.dot.gov/detail.php?facid=179</t>
  </si>
  <si>
    <t>https://cmfclearinghouse.fhwa.dot.gov/detail.php?facid=6096</t>
  </si>
  <si>
    <t>260, 268, 285, 289</t>
  </si>
  <si>
    <t>https://cmfclearinghouse.fhwa.dot.gov/detail.php?facid=260; https://cmfclearinghouse.fhwa.dot.gov/detail.php?facid=268; https://cmfclearinghouse.fhwa.dot.gov/detail.php?facid=285; https://cmfclearinghouse.fhwa.dot.gov/detail.php?facid=289;</t>
  </si>
  <si>
    <t>Average of results reported in the PSC documentation. CMFs 260, 268, 285, and 289</t>
  </si>
  <si>
    <t>5556, 9985, 4884</t>
  </si>
  <si>
    <t xml:space="preserve">https://www.cmfclearinghouse.org/detail.php?facid=5556; https://www.cmfclearinghouse.org/detail.php?facid=4884; https://www.cmfclearinghouse.org/detail.php?facid=10867 </t>
  </si>
  <si>
    <t>Average of RCUT results reported in the PSC documentation. CMFs: 5556, 9985, 4884</t>
  </si>
  <si>
    <t>https://cmfclearinghouse.fhwa.dot.gov/detail.php?facid=10867</t>
  </si>
  <si>
    <t>211, 226</t>
  </si>
  <si>
    <t>https://cmfclearinghouse.fhwa.dot.gov/detail.php?facid=211; https://cmfclearinghouse.fhwa.dot.gov/detail.php?facid=226;</t>
  </si>
  <si>
    <t>Average of results reported in the PSC documentation. CMFs 211 and 226</t>
  </si>
  <si>
    <t>https://cmfclearinghouse.fhwa.dot.gov/detail.php?facid=8867</t>
  </si>
  <si>
    <t>https://cmfclearinghouse.fhwa.dot.gov/detail.php?facid=384</t>
  </si>
  <si>
    <t>10342, 10333</t>
  </si>
  <si>
    <t>https://cmfclearinghouse.fhwa.dot.gov/detail.php?facid=10342; https://cmfclearinghouse.fhwa.dot.gov/detail.php?facid=10333</t>
  </si>
  <si>
    <t>Average of non-intersection results reported in the PSC documentation. CMFS 10342 and 10333.</t>
  </si>
  <si>
    <t>https://cmfclearinghouse.fhwa.dot.gov/detail.php?facid=2379; https://cmfclearinghouse.fhwa.dot.gov/detail.php?facid=2376</t>
  </si>
  <si>
    <t>https://cmfclearinghouse.fhwa.dot.gov/detail.php?facid=575; https://cmfclearinghouse.fhwa.dot.gov/detail.php?facid=574</t>
  </si>
  <si>
    <t>https://cmfclearinghouse.fhwa.dot.gov/detail.php?facid=11168</t>
  </si>
  <si>
    <t>Selected current CMF which applies to fatal and injury crashes.</t>
  </si>
  <si>
    <t>1. Determine whether you will use BCR or CM Score</t>
  </si>
  <si>
    <t>4. Refine investments based on realistic infrastructure investments.</t>
  </si>
  <si>
    <t>5. Review results in "BCR Results" or "CM Score Results".</t>
  </si>
  <si>
    <t>6. If preferred, transfer results to Countermeasure Investment Briefing Templates.</t>
  </si>
  <si>
    <t>The following cell styles are used throughout the template to indicate if cells require input, are an opportunity for optional input, include a relevant output, or represent an intermittent calculation.</t>
  </si>
  <si>
    <t>3. Enter required inputs in the relevant BCR Template or CM Score Template. Sort countermeasures by BCR (Highest to Lowest) or CM Score (Lowest to Highest).</t>
  </si>
  <si>
    <t>2. Review and update the relevant State Customization worksheet ("Agency Customization - BCR" when using BCR and "Agency Customization - CM Score" when using CM Score) to incorporate State-specific data. Note that input cells are currently occupied with default values from FHWA.</t>
  </si>
  <si>
    <t>Total Estimated Benefit for KA Crashes:</t>
  </si>
  <si>
    <t>Optional Input</t>
  </si>
  <si>
    <t>Required Input</t>
  </si>
  <si>
    <t>Calculation</t>
  </si>
  <si>
    <t>Key Output</t>
  </si>
  <si>
    <t>Contents</t>
  </si>
  <si>
    <t>Agency Customization - BCR: Users enter data to customize the BCR Template.</t>
  </si>
  <si>
    <t>BCR Template: Users prioritize PSCs using BCR.</t>
  </si>
  <si>
    <t>BCR Results: Users review overall results from BCR Template.</t>
  </si>
  <si>
    <t>Agency Customization - CM Score: Users enter data to customize the CM Score Template.</t>
  </si>
  <si>
    <t>CM Score Template: Users prioritize PSCs using CM Score.</t>
  </si>
  <si>
    <t>CM Score Results: Users review overall results from CM Score Template.</t>
  </si>
  <si>
    <t>PSC Cost Information: Users can reference this workbook for recommended PSC unit costs.</t>
  </si>
  <si>
    <t>PSC</t>
  </si>
  <si>
    <t>Recommended PSC Unit Costs</t>
  </si>
  <si>
    <t>Service Life Unit Cost</t>
  </si>
  <si>
    <t>Roadside design improvements at curves (acre) – Remove fixed objects (e.g., trees)</t>
  </si>
  <si>
    <t>The Federal Highway Administration (FHWA) developed a Proven Safety Countermeasure (PSC) Investment Tool, Companion Guide, and Countermeasure Investment Briefing Templates to help you with such requests and decisions. The tool, companion guide and templates can be used as a starting point and provide high-level planning insights for safety engineers, planners, and program managers to estimate how investments into certain countermeasures will affect safety performance on the system.</t>
  </si>
  <si>
    <t>The PSC Investment Tool is a spreadsheet that agencies can use to develop investment strategies for implementation of the FHWA PSCs. The Tool includes options for two economic metrics to optimize high-level planning decisions – benefit-cost ratio (BCR) and countermeasure score (CM Score). Using these metrics can enhance the confidence that a user is allocating their funds in a way that maximizes reductions in fatalities and serious injuries.</t>
  </si>
  <si>
    <t>This tool facilitates a high-level planning exercise, allowing an agency to estimate the return on investment for a certain countermeasure or combination of countermeasures, including lives saved, serious injuries prevented, and number of treatments which will be installed. Agencies would then take the initial planning insights and identify the most appropriate sites for each countermeasure, advancing these to the project development process.</t>
  </si>
  <si>
    <t>This Template provides a tool for agencies to optimize investments in the PSCs. Investments can be optimized using Benefit-Cost Ratio (BCR) or Countermeasure Score (CM Score). Please refer to the Companion Guide for information about how CM Score and BCR are used for investment planning.</t>
  </si>
  <si>
    <t>Proven Safety Countermeasures Funding Scenario Tool</t>
  </si>
  <si>
    <t>FHWA-SA-25-006</t>
  </si>
  <si>
    <t>https://highways.dot.gov/safety/rwd/keep-vehicles-road/rumble-strips/decision-support-guide-installation-shoulder-and-center</t>
  </si>
  <si>
    <t>https://highways.dot.gov/safety/hsip/hsip-special-rules/manual-selecting-safety-improvements-high-risk-rural-roads</t>
  </si>
  <si>
    <t>https://highways.dot.gov/safety/data-analysis-tools/rsdp/rsdp-tools/road-safety-audits-evaluation-rsa-programs-and-0</t>
  </si>
  <si>
    <t>https://www.larson.psu.edu/assets/docs/final-report-2023-05-s.pdf</t>
  </si>
  <si>
    <t>https://www.fhwa.dot.gov/publications/research/safety/humanfac/95164.cfm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</si>
</sst>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164" formatCode="0.0"/>
    <numFmt numFmtId="165" formatCode="_(&quot;$&quot;* #,##0_);_(&quot;$&quot;* \(#,##0\);_(&quot;$&quot;* &quot;-&quot;??_);_(@_)"/>
    <numFmt numFmtId="166" formatCode="[$-F400]h:mm:ss\ AM/PM"/>
  </numFmts>
  <fonts count="20" x14ac:knownFonts="1">
    <font>
      <sz val="11"/>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sz val="11"/>
      <color rgb="FF3F3F76"/>
      <name val="Calibri"/>
      <family val="2"/>
      <scheme val="minor"/>
    </font>
    <font>
      <b/>
      <u/>
      <sz val="11"/>
      <color theme="1"/>
      <name val="Calibri"/>
      <family val="2"/>
      <scheme val="minor"/>
    </font>
    <font>
      <sz val="11"/>
      <color theme="1"/>
      <name val="Aptos"/>
      <family val="2"/>
    </font>
    <font>
      <sz val="11"/>
      <color theme="1"/>
      <name val="Symbol"/>
      <family val="1"/>
      <charset val="2"/>
    </font>
    <font>
      <sz val="11"/>
      <color theme="1"/>
      <name val="Courier New"/>
      <family val="3"/>
    </font>
    <font>
      <sz val="9"/>
      <color rgb="FF808080"/>
      <name val="Segoe UI"/>
      <family val="2"/>
      <charset val="1"/>
    </font>
    <font>
      <b/>
      <sz val="11"/>
      <color theme="1"/>
      <name val="Aptos"/>
      <family val="2"/>
    </font>
    <font>
      <b/>
      <sz val="13"/>
      <color theme="3"/>
      <name val="Calibri"/>
      <family val="2"/>
      <scheme val="minor"/>
    </font>
    <font>
      <b/>
      <sz val="11"/>
      <color rgb="FF3F3F3F"/>
      <name val="Calibri"/>
      <family val="2"/>
      <scheme val="minor"/>
    </font>
    <font>
      <b/>
      <sz val="18"/>
      <color theme="3"/>
      <name val="Calibri"/>
      <family val="2"/>
      <scheme val="minor"/>
    </font>
    <font>
      <b/>
      <i/>
      <sz val="11"/>
      <name val="Calibri"/>
      <family val="2"/>
      <scheme val="minor"/>
    </font>
    <font>
      <b/>
      <sz val="11"/>
      <name val="Calibri"/>
      <family val="2"/>
      <scheme val="minor"/>
    </font>
    <font>
      <b/>
      <i/>
      <sz val="11"/>
      <color theme="0"/>
      <name val="Calibri"/>
      <family val="2"/>
      <scheme val="minor"/>
    </font>
    <font>
      <u/>
      <sz val="11"/>
      <color theme="10"/>
      <name val="Aptos"/>
      <family val="2"/>
    </font>
    <font>
      <sz val="48"/>
      <color theme="0"/>
      <name val="Calibri"/>
      <family val="2"/>
      <scheme val="minor"/>
    </font>
    <font>
      <sz val="14"/>
      <color theme="0"/>
      <name val="Calibri"/>
      <family val="2"/>
      <scheme val="minor"/>
    </font>
  </fonts>
  <fills count="10">
    <fill>
      <patternFill patternType="none"/>
    </fill>
    <fill>
      <patternFill patternType="gray125"/>
    </fill>
    <fill>
      <patternFill patternType="solid">
        <fgColor rgb="FFFFCC99"/>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59996337778862885"/>
        <bgColor indexed="64"/>
      </patternFill>
    </fill>
    <fill>
      <patternFill patternType="darkGray">
        <fgColor theme="4" tint="0.79998168889431442"/>
        <bgColor theme="4" tint="-0.499984740745262"/>
      </patternFill>
    </fill>
    <fill>
      <patternFill patternType="lightTrellis">
        <bgColor theme="9" tint="-0.24994659260841701"/>
      </patternFill>
    </fill>
    <fill>
      <patternFill patternType="solid">
        <fgColor theme="0"/>
        <bgColor indexed="64"/>
      </patternFill>
    </fill>
    <fill>
      <patternFill patternType="solid">
        <fgColor theme="4" tint="-0.499984740745262"/>
        <bgColor indexed="64"/>
      </patternFill>
    </fill>
  </fills>
  <borders count="8">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right/>
      <top/>
      <bottom style="thick">
        <color theme="4" tint="0.499984740745262"/>
      </bottom>
      <diagonal/>
    </border>
    <border>
      <left style="dotted">
        <color rgb="FF3F3F3F"/>
      </left>
      <right style="dotted">
        <color rgb="FF3F3F3F"/>
      </right>
      <top style="dotted">
        <color rgb="FF3F3F3F"/>
      </top>
      <bottom style="dotted">
        <color rgb="FF3F3F3F"/>
      </bottom>
      <diagonal/>
    </border>
    <border>
      <left style="dotted">
        <color rgb="FF3F3F3F"/>
      </left>
      <right style="dotted">
        <color rgb="FF3F3F3F"/>
      </right>
      <top style="dotted">
        <color rgb="FF3F3F3F"/>
      </top>
      <bottom/>
      <diagonal/>
    </border>
    <border>
      <left style="thin">
        <color indexed="64"/>
      </left>
      <right style="thin">
        <color indexed="64"/>
      </right>
      <top style="thin">
        <color indexed="64"/>
      </top>
      <bottom/>
      <diagonal/>
    </border>
    <border>
      <left/>
      <right style="thin">
        <color rgb="FF7F7F7F"/>
      </right>
      <top style="thin">
        <color rgb="FF7F7F7F"/>
      </top>
      <bottom style="thin">
        <color rgb="FF7F7F7F"/>
      </bottom>
      <diagonal/>
    </border>
  </borders>
  <cellStyleXfs count="10">
    <xf numFmtId="0" fontId="0" fillId="0" borderId="0"/>
    <xf numFmtId="0" fontId="2" fillId="0" borderId="0" applyNumberFormat="0" applyFill="0" applyBorder="0" applyAlignment="0" applyProtection="0"/>
    <xf numFmtId="44" fontId="3" fillId="0" borderId="0" applyFont="0" applyFill="0" applyBorder="0" applyAlignment="0" applyProtection="0"/>
    <xf numFmtId="0" fontId="14" fillId="5" borderId="1" applyNumberFormat="0" applyAlignment="0" applyProtection="0"/>
    <xf numFmtId="0" fontId="15" fillId="6" borderId="1" applyNumberFormat="0" applyAlignment="0" applyProtection="0"/>
    <xf numFmtId="0" fontId="13" fillId="0" borderId="0" applyNumberFormat="0" applyFill="0" applyAlignment="0" applyProtection="0"/>
    <xf numFmtId="0" fontId="11" fillId="3" borderId="3" applyNumberFormat="0" applyAlignment="0" applyProtection="0"/>
    <xf numFmtId="0" fontId="12" fillId="4" borderId="4" applyNumberFormat="0" applyAlignment="0" applyProtection="0"/>
    <xf numFmtId="0" fontId="14" fillId="5" borderId="1"/>
    <xf numFmtId="0" fontId="16" fillId="7" borderId="0"/>
  </cellStyleXfs>
  <cellXfs count="60">
    <xf numFmtId="0" fontId="0" fillId="0" borderId="0" xfId="0"/>
    <xf numFmtId="0" fontId="1" fillId="0" borderId="0" xfId="0" applyFont="1"/>
    <xf numFmtId="0" fontId="2" fillId="0" borderId="0" xfId="1"/>
    <xf numFmtId="2" fontId="0" fillId="0" borderId="0" xfId="0" applyNumberFormat="1"/>
    <xf numFmtId="44" fontId="0" fillId="0" borderId="0" xfId="2" applyFont="1"/>
    <xf numFmtId="44" fontId="14" fillId="5" borderId="1" xfId="3" applyNumberFormat="1"/>
    <xf numFmtId="44" fontId="4" fillId="2" borderId="1" xfId="2" applyFont="1" applyFill="1" applyBorder="1"/>
    <xf numFmtId="0" fontId="15" fillId="6" borderId="1" xfId="4" applyNumberFormat="1"/>
    <xf numFmtId="44" fontId="15" fillId="6" borderId="1" xfId="4" applyNumberFormat="1"/>
    <xf numFmtId="0" fontId="14" fillId="5" borderId="1" xfId="3"/>
    <xf numFmtId="0" fontId="15" fillId="6" borderId="1" xfId="4"/>
    <xf numFmtId="2" fontId="15" fillId="6" borderId="1" xfId="4" applyNumberFormat="1"/>
    <xf numFmtId="1" fontId="0" fillId="0" borderId="0" xfId="0" applyNumberFormat="1"/>
    <xf numFmtId="0" fontId="5" fillId="0" borderId="0" xfId="0" applyFont="1"/>
    <xf numFmtId="0" fontId="6" fillId="0" borderId="0" xfId="0" applyFont="1" applyAlignment="1">
      <alignment vertical="center"/>
    </xf>
    <xf numFmtId="0" fontId="6" fillId="0" borderId="0" xfId="0" applyFont="1" applyAlignment="1">
      <alignment vertical="center" wrapText="1"/>
    </xf>
    <xf numFmtId="0" fontId="7" fillId="0" borderId="0" xfId="0" applyFont="1" applyAlignment="1">
      <alignment horizontal="left" vertical="center" indent="4"/>
    </xf>
    <xf numFmtId="0" fontId="8" fillId="0" borderId="0" xfId="0" applyFont="1" applyAlignment="1">
      <alignment horizontal="left" vertical="center" indent="9"/>
    </xf>
    <xf numFmtId="165" fontId="0" fillId="0" borderId="0" xfId="2" applyNumberFormat="1" applyFont="1"/>
    <xf numFmtId="164" fontId="15" fillId="6" borderId="1" xfId="4" applyNumberFormat="1"/>
    <xf numFmtId="1" fontId="0" fillId="0" borderId="0" xfId="2" applyNumberFormat="1" applyFont="1"/>
    <xf numFmtId="0" fontId="1" fillId="0" borderId="0" xfId="0" applyFont="1" applyAlignment="1">
      <alignment horizontal="right"/>
    </xf>
    <xf numFmtId="0" fontId="9" fillId="0" borderId="0" xfId="0" applyFont="1"/>
    <xf numFmtId="0" fontId="10" fillId="0" borderId="0" xfId="0" applyFont="1" applyAlignment="1">
      <alignment horizontal="right"/>
    </xf>
    <xf numFmtId="0" fontId="11" fillId="3" borderId="3" xfId="6" applyAlignment="1">
      <alignment vertical="center" wrapText="1"/>
    </xf>
    <xf numFmtId="0" fontId="13" fillId="0" borderId="0" xfId="5"/>
    <xf numFmtId="0" fontId="11" fillId="3" borderId="3" xfId="6"/>
    <xf numFmtId="0" fontId="14" fillId="5" borderId="1" xfId="8"/>
    <xf numFmtId="0" fontId="16" fillId="7" borderId="0" xfId="9"/>
    <xf numFmtId="165" fontId="12" fillId="4" borderId="4" xfId="7" applyNumberFormat="1"/>
    <xf numFmtId="1" fontId="12" fillId="4" borderId="4" xfId="7" applyNumberFormat="1"/>
    <xf numFmtId="164" fontId="12" fillId="4" borderId="4" xfId="7" applyNumberFormat="1"/>
    <xf numFmtId="2" fontId="16" fillId="7" borderId="0" xfId="9" applyNumberFormat="1"/>
    <xf numFmtId="165" fontId="15" fillId="6" borderId="1" xfId="4" applyNumberFormat="1"/>
    <xf numFmtId="0" fontId="15" fillId="6" borderId="1" xfId="4" applyAlignment="1">
      <alignment vertical="center" wrapText="1"/>
    </xf>
    <xf numFmtId="0" fontId="12" fillId="4" borderId="5" xfId="7" applyBorder="1" applyAlignment="1">
      <alignment vertical="center" wrapText="1"/>
    </xf>
    <xf numFmtId="0" fontId="6" fillId="8" borderId="0" xfId="0" applyFont="1" applyFill="1" applyAlignment="1">
      <alignment vertical="center" wrapText="1"/>
    </xf>
    <xf numFmtId="165" fontId="14" fillId="5" borderId="1" xfId="2" applyNumberFormat="1" applyFont="1" applyFill="1" applyBorder="1"/>
    <xf numFmtId="0" fontId="16" fillId="7" borderId="0" xfId="9" applyAlignment="1">
      <alignment horizontal="left"/>
    </xf>
    <xf numFmtId="165" fontId="14" fillId="5" borderId="1" xfId="3" applyNumberFormat="1"/>
    <xf numFmtId="165" fontId="15" fillId="6" borderId="1" xfId="2" applyNumberFormat="1" applyFont="1" applyFill="1" applyBorder="1"/>
    <xf numFmtId="44" fontId="15" fillId="6" borderId="1" xfId="2" applyFont="1" applyFill="1" applyBorder="1"/>
    <xf numFmtId="0" fontId="0" fillId="8" borderId="0" xfId="0" applyFill="1"/>
    <xf numFmtId="0" fontId="2" fillId="8" borderId="0" xfId="1" applyFill="1" applyBorder="1" applyAlignment="1">
      <alignment vertical="center" wrapText="1"/>
    </xf>
    <xf numFmtId="0" fontId="6" fillId="0" borderId="0" xfId="0" applyFont="1" applyAlignment="1">
      <alignment horizontal="right"/>
    </xf>
    <xf numFmtId="0" fontId="6" fillId="0" borderId="0" xfId="0" applyFont="1"/>
    <xf numFmtId="2" fontId="14" fillId="5" borderId="7" xfId="3" applyNumberFormat="1" applyBorder="1"/>
    <xf numFmtId="0" fontId="11" fillId="3" borderId="0" xfId="6" applyBorder="1"/>
    <xf numFmtId="0" fontId="10" fillId="0" borderId="0" xfId="0" applyFont="1" applyAlignment="1">
      <alignment horizontal="right" vertical="center" wrapText="1"/>
    </xf>
    <xf numFmtId="0" fontId="17" fillId="8" borderId="2" xfId="1" applyFont="1" applyFill="1" applyBorder="1"/>
    <xf numFmtId="0" fontId="17" fillId="8" borderId="6" xfId="1" applyFont="1" applyFill="1" applyBorder="1"/>
    <xf numFmtId="0" fontId="6" fillId="8" borderId="2" xfId="0" applyFont="1" applyFill="1" applyBorder="1"/>
    <xf numFmtId="6" fontId="6" fillId="8" borderId="2" xfId="0" applyNumberFormat="1" applyFont="1" applyFill="1" applyBorder="1"/>
    <xf numFmtId="0" fontId="6" fillId="8" borderId="2" xfId="0" quotePrefix="1" applyFont="1" applyFill="1" applyBorder="1"/>
    <xf numFmtId="0" fontId="6" fillId="8" borderId="6" xfId="0" applyFont="1" applyFill="1" applyBorder="1"/>
    <xf numFmtId="6" fontId="6" fillId="8" borderId="6" xfId="0" applyNumberFormat="1" applyFont="1" applyFill="1" applyBorder="1"/>
    <xf numFmtId="0" fontId="2" fillId="7" borderId="0" xfId="1" applyFill="1"/>
    <xf numFmtId="166" fontId="18" fillId="9" borderId="0" xfId="0" applyNumberFormat="1" applyFont="1" applyFill="1" applyAlignment="1">
      <alignment horizontal="left" vertical="center" wrapText="1" indent="3"/>
    </xf>
    <xf numFmtId="166" fontId="19" fillId="9" borderId="0" xfId="0" applyNumberFormat="1" applyFont="1" applyFill="1" applyAlignment="1">
      <alignment horizontal="left" indent="3"/>
    </xf>
    <xf numFmtId="0" fontId="2" fillId="8" borderId="2" xfId="1" applyFill="1" applyBorder="1"/>
  </cellXfs>
  <cellStyles count="10">
    <cellStyle name="Calculation" xfId="4" builtinId="22" customBuiltin="1"/>
    <cellStyle name="Currency" xfId="2" builtinId="4"/>
    <cellStyle name="Heading 1" xfId="5" builtinId="16" customBuiltin="1"/>
    <cellStyle name="Heading 2" xfId="6" builtinId="17" customBuiltin="1"/>
    <cellStyle name="Hyperlink" xfId="1" builtinId="8"/>
    <cellStyle name="Input" xfId="3" builtinId="20" customBuiltin="1"/>
    <cellStyle name="Normal" xfId="0" builtinId="0"/>
    <cellStyle name="Optional input" xfId="9" xr:uid="{AF22E3D4-73B8-4633-973D-B0F613D9F61E}"/>
    <cellStyle name="Output" xfId="7" builtinId="21" customBuiltin="1"/>
    <cellStyle name="required input" xfId="8" xr:uid="{72B0B8D6-F4F8-41EF-AE51-D960C483BBF9}"/>
  </cellStyles>
  <dxfs count="53">
    <dxf>
      <font>
        <b val="0"/>
        <i val="0"/>
        <strike val="0"/>
        <condense val="0"/>
        <extend val="0"/>
        <outline val="0"/>
        <shadow val="0"/>
        <u val="none"/>
        <vertAlign val="baseline"/>
        <sz val="11"/>
        <color theme="1"/>
        <name val="Aptos"/>
        <family val="2"/>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Aptos"/>
        <family val="2"/>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family val="2"/>
        <scheme val="none"/>
      </font>
      <numFmt numFmtId="10" formatCode="&quot;$&quot;#,##0_);[Red]\(&quot;$&quot;#,##0\)"/>
      <fill>
        <patternFill patternType="solid">
          <fgColor indexed="64"/>
          <bgColor theme="0"/>
        </patternFill>
      </fill>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family val="2"/>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border outline="0">
        <bottom style="thin">
          <color indexed="64"/>
        </bottom>
      </border>
    </dxf>
    <dxf>
      <font>
        <strike val="0"/>
        <outline val="0"/>
        <shadow val="0"/>
        <vertAlign val="baseline"/>
        <sz val="11"/>
        <name val="Aptos"/>
        <family val="2"/>
        <scheme val="none"/>
      </font>
      <fill>
        <patternFill patternType="solid">
          <fgColor indexed="64"/>
          <bgColor theme="0"/>
        </patternFill>
      </fill>
    </dxf>
    <dxf>
      <border outline="0">
        <bottom style="thick">
          <color theme="4" tint="0.499984740745262"/>
        </bottom>
      </border>
    </dxf>
    <dxf>
      <font>
        <b/>
        <i val="0"/>
        <strike val="0"/>
        <condense val="0"/>
        <extend val="0"/>
        <outline val="0"/>
        <shadow val="0"/>
        <u val="none"/>
        <vertAlign val="baseline"/>
        <sz val="11"/>
        <color theme="1"/>
        <name val="Aptos"/>
        <family val="2"/>
        <scheme val="none"/>
      </font>
      <alignment horizontal="right" vertical="bottom" textRotation="0" wrapText="0" indent="0" justifyLastLine="0" shrinkToFit="0" readingOrder="0"/>
    </dxf>
    <dxf>
      <numFmt numFmtId="34" formatCode="_(&quot;$&quot;* #,##0.00_);_(&quot;$&quot;* \(#,##0.00\);_(&quot;$&quot;* &quot;-&quot;??_);_(@_)"/>
      <border outline="0">
        <left style="thin">
          <color rgb="FF7F7F7F"/>
        </left>
      </border>
    </dxf>
    <dxf>
      <numFmt numFmtId="165" formatCode="_(&quot;$&quot;* #,##0_);_(&quot;$&quot;* \(#,##0\);_(&quot;$&quot;* &quot;-&quot;??_);_(@_)"/>
      <border outline="0">
        <left style="thin">
          <color rgb="FF7F7F7F"/>
        </left>
        <right style="thin">
          <color rgb="FF7F7F7F"/>
        </right>
      </border>
    </dxf>
    <dxf>
      <numFmt numFmtId="164" formatCode="0.0"/>
      <border outline="0">
        <left style="thin">
          <color rgb="FF7F7F7F"/>
        </left>
        <right style="thin">
          <color rgb="FF7F7F7F"/>
        </right>
      </border>
    </dxf>
    <dxf>
      <numFmt numFmtId="164" formatCode="0.0"/>
      <border outline="0">
        <left style="thin">
          <color rgb="FF7F7F7F"/>
        </left>
        <right style="thin">
          <color rgb="FF7F7F7F"/>
        </right>
      </border>
    </dxf>
    <dxf>
      <numFmt numFmtId="164" formatCode="0.0"/>
      <border outline="0">
        <right style="thin">
          <color rgb="FF7F7F7F"/>
        </right>
      </border>
    </dxf>
    <dxf>
      <border outline="0">
        <left style="thin">
          <color rgb="FF7F7F7F"/>
        </left>
        <right style="thin">
          <color rgb="FF7F7F7F"/>
        </right>
      </border>
    </dxf>
    <dxf>
      <numFmt numFmtId="164" formatCode="0.0"/>
    </dxf>
    <dxf>
      <border outline="0">
        <right style="thin">
          <color rgb="FF7F7F7F"/>
        </right>
      </border>
    </dxf>
    <dxf>
      <numFmt numFmtId="34" formatCode="_(&quot;$&quot;* #,##0.00_);_(&quot;$&quot;* \(#,##0.00\);_(&quot;$&quot;* &quot;-&quot;??_);_(@_)"/>
      <border outline="0">
        <left style="thin">
          <color rgb="FF7F7F7F"/>
        </left>
      </border>
    </dxf>
    <dxf>
      <numFmt numFmtId="165" formatCode="_(&quot;$&quot;* #,##0_);_(&quot;$&quot;* \(#,##0\);_(&quot;$&quot;* &quot;-&quot;??_);_(@_)"/>
    </dxf>
    <dxf>
      <border outline="0">
        <right style="thin">
          <color rgb="FF7F7F7F"/>
        </right>
      </border>
    </dxf>
    <dxf>
      <alignment horizontal="left" vertical="bottom" textRotation="0" wrapText="0" indent="0" justifyLastLine="0" shrinkToFit="0" readingOrder="0"/>
    </dxf>
    <dxf>
      <numFmt numFmtId="2" formatCode="0.00"/>
    </dxf>
    <dxf>
      <font>
        <strike val="0"/>
        <outline val="0"/>
        <shadow val="0"/>
        <u val="none"/>
        <vertAlign val="baseline"/>
        <sz val="11"/>
        <color theme="1"/>
        <name val="Aptos"/>
        <family val="2"/>
        <scheme val="none"/>
      </font>
    </dxf>
    <dxf>
      <font>
        <strike val="0"/>
        <outline val="0"/>
        <shadow val="0"/>
        <u val="none"/>
        <vertAlign val="baseline"/>
        <sz val="11"/>
        <color theme="1"/>
        <name val="Aptos"/>
        <family val="2"/>
        <scheme val="none"/>
      </font>
    </dxf>
    <dxf>
      <font>
        <b/>
        <i val="0"/>
        <strike val="0"/>
        <condense val="0"/>
        <extend val="0"/>
        <outline val="0"/>
        <shadow val="0"/>
        <u val="none"/>
        <vertAlign val="baseline"/>
        <sz val="11"/>
        <color theme="1"/>
        <name val="Calibri"/>
        <family val="2"/>
        <scheme val="minor"/>
      </font>
    </dxf>
    <dxf>
      <font>
        <strike val="0"/>
        <outline val="0"/>
        <shadow val="0"/>
        <u val="none"/>
        <vertAlign val="baseline"/>
        <sz val="11"/>
        <color theme="1"/>
        <name val="Aptos"/>
        <family val="2"/>
        <scheme val="none"/>
      </font>
    </dxf>
    <dxf>
      <numFmt numFmtId="2" formatCode="0.00"/>
    </dxf>
    <dxf>
      <font>
        <b/>
        <i val="0"/>
        <strike val="0"/>
        <condense val="0"/>
        <extend val="0"/>
        <outline val="0"/>
        <shadow val="0"/>
        <u val="none"/>
        <vertAlign val="baseline"/>
        <sz val="11"/>
        <color theme="1"/>
        <name val="Aptos"/>
        <family val="2"/>
        <scheme val="none"/>
      </font>
      <fill>
        <patternFill patternType="none">
          <fgColor indexed="64"/>
          <bgColor indexed="65"/>
        </patternFill>
      </fill>
      <alignment horizontal="right" vertical="bottom" textRotation="0" wrapText="0" indent="0" justifyLastLine="0" shrinkToFit="0" readingOrder="0"/>
    </dxf>
    <dxf>
      <numFmt numFmtId="2" formatCode="0.00"/>
    </dxf>
    <dxf>
      <font>
        <b/>
        <strike val="0"/>
        <outline val="0"/>
        <shadow val="0"/>
        <vertAlign val="baseline"/>
        <sz val="11"/>
        <name val="Aptos"/>
        <family val="2"/>
        <scheme val="none"/>
      </font>
      <alignment horizontal="right" textRotation="0" indent="0" justifyLastLine="0" shrinkToFit="0" readingOrder="0"/>
    </dxf>
    <dxf>
      <font>
        <strike val="0"/>
        <outline val="0"/>
        <shadow val="0"/>
        <vertAlign val="baseline"/>
        <sz val="11"/>
        <name val="Aptos"/>
        <family val="2"/>
        <scheme val="none"/>
      </font>
    </dxf>
    <dxf>
      <font>
        <b/>
        <i val="0"/>
        <strike val="0"/>
        <condense val="0"/>
        <extend val="0"/>
        <outline val="0"/>
        <shadow val="0"/>
        <u val="none"/>
        <vertAlign val="baseline"/>
        <sz val="11"/>
        <color theme="1"/>
        <name val="Aptos"/>
        <family val="2"/>
        <scheme val="none"/>
      </font>
      <alignment horizontal="right" vertical="bottom" textRotation="0" wrapText="0" indent="0" justifyLastLine="0" shrinkToFit="0" readingOrder="0"/>
    </dxf>
    <dxf>
      <numFmt numFmtId="164" formatCode="0.0"/>
    </dxf>
    <dxf>
      <numFmt numFmtId="164" formatCode="0.0"/>
    </dxf>
    <dxf>
      <numFmt numFmtId="164" formatCode="0.0"/>
    </dxf>
    <dxf>
      <border outline="0">
        <left style="thin">
          <color rgb="FF7F7F7F"/>
        </left>
      </border>
    </dxf>
    <dxf>
      <numFmt numFmtId="165" formatCode="_(&quot;$&quot;* #,##0_);_(&quot;$&quot;* \(#,##0\);_(&quot;$&quot;* &quot;-&quot;??_);_(@_)"/>
      <border outline="0">
        <left style="thin">
          <color rgb="FF7F7F7F"/>
        </left>
      </border>
    </dxf>
    <dxf>
      <numFmt numFmtId="165" formatCode="_(&quot;$&quot;* #,##0_);_(&quot;$&quot;* \(#,##0\);_(&quot;$&quot;* &quot;-&quot;??_);_(@_)"/>
      <border outline="0">
        <right style="thin">
          <color rgb="FF7F7F7F"/>
        </right>
      </border>
    </dxf>
    <dxf>
      <border outline="0">
        <right style="thin">
          <color rgb="FF7F7F7F"/>
        </right>
      </border>
    </dxf>
    <dxf>
      <font>
        <strike val="0"/>
        <outline val="0"/>
        <shadow val="0"/>
        <u val="none"/>
        <vertAlign val="baseline"/>
        <sz val="11"/>
        <color theme="1"/>
        <name val="Aptos"/>
        <family val="2"/>
        <scheme val="none"/>
      </font>
    </dxf>
    <dxf>
      <font>
        <strike val="0"/>
        <outline val="0"/>
        <shadow val="0"/>
        <u val="none"/>
        <vertAlign val="baseline"/>
        <sz val="11"/>
        <color theme="1"/>
        <name val="Aptos"/>
        <family val="2"/>
        <scheme val="none"/>
      </font>
    </dxf>
    <dxf>
      <font>
        <strike val="0"/>
        <outline val="0"/>
        <shadow val="0"/>
        <u val="none"/>
        <vertAlign val="baseline"/>
        <sz val="11"/>
        <color theme="1"/>
        <name val="Aptos"/>
        <family val="2"/>
        <scheme val="none"/>
      </font>
      <alignment horizontal="right" vertical="bottom" textRotation="0" wrapText="0" indent="0" justifyLastLine="0" shrinkToFit="0" readingOrder="0"/>
    </dxf>
    <dxf>
      <font>
        <strike val="0"/>
        <outline val="0"/>
        <shadow val="0"/>
        <u val="none"/>
        <vertAlign val="baseline"/>
        <sz val="11"/>
        <color theme="1"/>
        <name val="Aptos"/>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ptos"/>
        <family val="2"/>
        <scheme val="none"/>
      </font>
      <fill>
        <patternFill patternType="solid">
          <fgColor indexed="64"/>
          <bgColor theme="0"/>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Aptos"/>
        <family val="2"/>
        <scheme val="none"/>
      </font>
      <fill>
        <patternFill patternType="solid">
          <fgColor indexed="64"/>
          <bgColor theme="0"/>
        </patternFill>
      </fill>
      <alignment horizontal="general" vertical="center" textRotation="0" wrapText="1" indent="0" justifyLastLine="0" shrinkToFit="0" readingOrder="0"/>
    </dxf>
    <dxf>
      <border outline="0">
        <bottom style="thick">
          <color theme="4" tint="0.499984740745262"/>
        </bottom>
      </border>
    </dxf>
    <dxf>
      <fill>
        <patternFill patternType="solid">
          <fgColor indexed="64"/>
          <bgColor theme="0"/>
        </patternFill>
      </fill>
    </dxf>
    <dxf>
      <fill>
        <patternFill patternType="solid">
          <fgColor indexed="64"/>
          <bgColor theme="0"/>
        </patternFill>
      </fill>
    </dxf>
    <dxf>
      <border outline="0">
        <bottom style="thick">
          <color theme="4" tint="0.499984740745262"/>
        </bottom>
      </border>
    </dxf>
    <dxf>
      <alignment horizontal="general" vertical="center" textRotation="0" wrapText="1" indent="0" justifyLastLine="0" shrinkToFit="0" readingOrder="0"/>
    </dxf>
    <dxf>
      <font>
        <b val="0"/>
        <i val="0"/>
        <strike val="0"/>
        <condense val="0"/>
        <extend val="0"/>
        <outline val="0"/>
        <shadow val="0"/>
        <u val="none"/>
        <vertAlign val="baseline"/>
        <sz val="11"/>
        <color theme="1"/>
        <name val="Aptos"/>
        <family val="2"/>
        <scheme val="none"/>
      </font>
      <fill>
        <patternFill patternType="solid">
          <fgColor indexed="64"/>
          <bgColor theme="0"/>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Aptos"/>
        <family val="2"/>
        <scheme val="none"/>
      </font>
      <fill>
        <patternFill patternType="solid">
          <fgColor indexed="64"/>
          <bgColor theme="0"/>
        </patternFill>
      </fill>
      <alignment horizontal="general" vertical="center" textRotation="0" wrapText="1" indent="0" justifyLastLine="0" shrinkToFit="0" readingOrder="0"/>
    </dxf>
    <dxf>
      <border outline="0">
        <bottom style="thick">
          <color theme="4" tint="0.499984740745262"/>
        </bottom>
      </border>
    </dxf>
    <dxf>
      <border outline="0">
        <bottom style="thick">
          <color theme="4"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7029451</xdr:colOff>
      <xdr:row>1</xdr:row>
      <xdr:rowOff>342900</xdr:rowOff>
    </xdr:from>
    <xdr:to>
      <xdr:col>0</xdr:col>
      <xdr:colOff>9086850</xdr:colOff>
      <xdr:row>1</xdr:row>
      <xdr:rowOff>1230923</xdr:rowOff>
    </xdr:to>
    <xdr:pic>
      <xdr:nvPicPr>
        <xdr:cNvPr id="3" name="Picture 2" descr="Logo for the U.S. Department of Transportation Federal Highway Administration&#10;">
          <a:extLst>
            <a:ext uri="{FF2B5EF4-FFF2-40B4-BE49-F238E27FC236}">
              <a16:creationId xmlns:a16="http://schemas.microsoft.com/office/drawing/2014/main" id="{D0A34B00-7EDD-4B8F-BEAA-370C3B5B5AA0}"/>
            </a:ext>
          </a:extLst>
        </xdr:cNvPr>
        <xdr:cNvPicPr>
          <a:picLocks noChangeAspect="1"/>
        </xdr:cNvPicPr>
      </xdr:nvPicPr>
      <xdr:blipFill rotWithShape="1">
        <a:blip xmlns:r="http://schemas.openxmlformats.org/officeDocument/2006/relationships" r:embed="rId1"/>
        <a:srcRect l="23437" t="23437" r="15626" b="56836"/>
        <a:stretch/>
      </xdr:blipFill>
      <xdr:spPr>
        <a:xfrm>
          <a:off x="7029451" y="3819525"/>
          <a:ext cx="2057399" cy="88802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494D3C1-B540-40C1-9DAA-0E216923BBC1}" name="UserLegend" displayName="UserLegend" ref="A29:A34" totalsRowShown="0" headerRowBorderDxfId="52" headerRowCellStyle="Heading 2">
  <autoFilter ref="A29:A34" xr:uid="{4494D3C1-B540-40C1-9DAA-0E216923BBC1}"/>
  <tableColumns count="1">
    <tableColumn id="1" xr3:uid="{C28421FE-5DC8-4695-9C1A-CDEFD174408B}" name="User Legend"/>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14161533-FB2C-48B3-9F4C-6CF81CB835B9}" name="OptionalDataElements2" displayName="OptionalDataElements2" ref="A11:B18" totalsRowShown="0" headerRowCellStyle="Heading 2">
  <autoFilter ref="A11:B18" xr:uid="{14161533-FB2C-48B3-9F4C-6CF81CB835B9}"/>
  <tableColumns count="2">
    <tableColumn id="1" xr3:uid="{884F15A4-7EB7-4072-8650-BF532D0D0045}" name="Optional Data Elements" dataDxfId="28"/>
    <tableColumn id="2" xr3:uid="{166D7BB7-99C8-406C-8F15-1D388B53F8AE}" name="Input" dataDxfId="27" dataCellStyle="Input"/>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5D0EE364-2A05-4AA0-BF1C-C700A82E733C}" name="CMFContext" displayName="CMFContext" ref="A20:C33" totalsRowShown="0" headerRowCellStyle="Heading 2">
  <autoFilter ref="A20:C33" xr:uid="{5D0EE364-2A05-4AA0-BF1C-C700A82E733C}"/>
  <tableColumns count="3">
    <tableColumn id="1" xr3:uid="{F6C08732-1ED1-42E9-911E-753214F19579}" name="CMF Context" dataDxfId="26"/>
    <tableColumn id="2" xr3:uid="{CF69B14E-56AA-49A0-A377-1CD8242DE8B0}" name="CMF" dataDxfId="25" dataCellStyle="Optional input"/>
    <tableColumn id="3" xr3:uid="{0E50435E-010E-4188-9707-AF1916E2ED4E}" name="CMF Source" dataDxfId="24"/>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5A22E6B-61F3-4F86-BC4F-7BCAA408BAE4}" name="PSCTemplate" displayName="PSCTemplate" ref="A2:S38" totalsRowShown="0" headerRowDxfId="23">
  <autoFilter ref="A2:S38" xr:uid="{65A22E6B-61F3-4F86-BC4F-7BCAA408BAE4}"/>
  <tableColumns count="19">
    <tableColumn id="1" xr3:uid="{3BE2EB84-8A05-4880-8E44-12F705D8D566}" name="PSC Category" dataDxfId="22"/>
    <tableColumn id="2" xr3:uid="{7274908C-B3F2-4549-B86C-87BB1557D83D}" name="Proven Safety Countermeasure" dataDxfId="21"/>
    <tableColumn id="3" xr3:uid="{ECD611EC-343D-4F79-B4BF-3F653DCCD978}" name="CMF for KA Crashes" dataDxfId="20" dataCellStyle="Optional input"/>
    <tableColumn id="4" xr3:uid="{2251FFE5-8BED-4521-A42B-04F581AC8890}" name="Target Crash Type for CMFs" dataCellStyle="Optional input"/>
    <tableColumn id="5" xr3:uid="{D1DEE68B-F9E3-41C5-871C-E450D0E5927A}" name="CMF Clearinghouse ID(s)" dataDxfId="19" dataCellStyle="Optional input"/>
    <tableColumn id="6" xr3:uid="{6E4D4CC9-06B9-4E1A-BC94-89744000A803}" name="Source" dataCellStyle="Optional input"/>
    <tableColumn id="7" xr3:uid="{30D05B85-82BE-4E63-98E9-C6BEF26628D9}" name="Notes" dataCellStyle="Optional input"/>
    <tableColumn id="8" xr3:uid="{BC9E59E0-68DD-4FDB-925A-F3B58537A52A}" name="Installation Unit" dataCellStyle="Optional input"/>
    <tableColumn id="9" xr3:uid="{719F1AED-BE8A-47CA-8457-59741742A15D}" name="Service Life" dataDxfId="18" dataCellStyle="Optional input"/>
    <tableColumn id="10" xr3:uid="{4BE9E565-F3A0-4E8B-AC37-13EDB8D3B951}" name="Service Life Unit Cost Estimate" dataDxfId="17" dataCellStyle="Input"/>
    <tableColumn id="11" xr3:uid="{B7F4A815-6472-4E96-9FA4-6A90A86D8D54}" name="CM Score" dataDxfId="16" dataCellStyle="Calculation">
      <calculatedColumnFormula>J3/((1-C3)*100)</calculatedColumnFormula>
    </tableColumn>
    <tableColumn id="12" xr3:uid="{90BEDD53-78D1-4136-8D93-4CD4404DE627}" name="Investment" dataDxfId="15" dataCellStyle="required input"/>
    <tableColumn id="13" xr3:uid="{C0DB7ECF-FBD2-4AF4-8F21-95AB5B337880}" name="Sites Treated" dataDxfId="14" dataCellStyle="Calculation">
      <calculatedColumnFormula>IFERROR(L3/J3,0)</calculatedColumnFormula>
    </tableColumn>
    <tableColumn id="14" xr3:uid="{30A91A3E-CD54-4259-A1A3-A03670715582}" name="Average KA Crash Frequency per Unit" dataDxfId="13" dataCellStyle="Input"/>
    <tableColumn id="18" xr3:uid="{4B02A92A-D83D-4E08-BB45-53ED12198019}" name="KA Crashes Prevented" dataDxfId="12" dataCellStyle="Calculation">
      <calculatedColumnFormula>PSCTemplate[[#This Row],[Average KA Crash Frequency per Unit]]*PSCTemplate[[#This Row],[Sites Treated]]*PSCTemplate[[#This Row],[CMF for KA Crashes]]*PSCTemplate[[#This Row],[Service Life]]</calculatedColumnFormula>
    </tableColumn>
    <tableColumn id="15" xr3:uid="{8A44EDBB-FA00-4991-9C8D-017BE1A3A6F8}" name="Lives Saved" dataDxfId="11" dataCellStyle="Calculation">
      <calculatedColumnFormula>PSCTemplate[[#This Row],[KA Crashes Prevented]]*'Agency Customization - CM Score'!B$8</calculatedColumnFormula>
    </tableColumn>
    <tableColumn id="16" xr3:uid="{B34CABDC-7770-4A51-8AF1-315BC834D999}" name="Serious Injuries Prevented" dataDxfId="10" dataCellStyle="Calculation">
      <calculatedColumnFormula>PSCTemplate[[#This Row],[KA Crashes Prevented]]*'Agency Customization - CM Score'!B$9</calculatedColumnFormula>
    </tableColumn>
    <tableColumn id="19" xr3:uid="{6DD49ACE-A56F-4152-B083-4466ED361D03}" name="Estimated Benefits from KA Crash Reduction" dataDxfId="9" dataCellStyle="Currency">
      <calculatedColumnFormula>PSCTemplate[[#This Row],[KA Crashes Prevented]]*'Agency Customization - CM Score'!B$7</calculatedColumnFormula>
    </tableColumn>
    <tableColumn id="17" xr3:uid="{16B2330C-559F-4E07-86E3-AEBDA485D96C}" name="Estimated BCR from KA Crashes" dataDxfId="8" dataCellStyle="Currency">
      <calculatedColumnFormula>PSCTemplate[[#This Row],[Estimated Benefits from KA Crash Reduction]]/PSCTemplate[[#This Row],[Investment]]</calculatedColumnFormula>
    </tableColumn>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479FD25-AD6F-48A6-9688-1F76E862A231}" name="CMScoreResults" displayName="CMScoreResults" ref="A2:B7" totalsRowShown="0" headerRowCellStyle="Heading 2">
  <autoFilter ref="A2:B7" xr:uid="{DA274F9F-01D9-437E-93E3-85547337D67F}"/>
  <tableColumns count="2">
    <tableColumn id="1" xr3:uid="{47073076-CD95-426F-B5F4-A29DF1BF627F}" name="Metric" dataDxfId="7"/>
    <tableColumn id="2" xr3:uid="{5C1DBD62-B7C7-45E8-B463-E0BBD82B8556}" name="Total Results" dataCellStyle="Output"/>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9F9976C9-85D9-40AF-92FB-CFE2AE5165C1}" name="PSCUnitCosts" displayName="PSCUnitCosts" ref="A2:D27" totalsRowShown="0" dataDxfId="5" headerRowBorderDxfId="6" tableBorderDxfId="4" headerRowCellStyle="Heading 2">
  <autoFilter ref="A2:D27" xr:uid="{9F9976C9-85D9-40AF-92FB-CFE2AE5165C1}"/>
  <tableColumns count="4">
    <tableColumn id="1" xr3:uid="{A5C17C6F-600F-41B4-B832-BB08E0948982}" name="PSC" dataDxfId="3"/>
    <tableColumn id="2" xr3:uid="{113E11C4-18C5-42CC-9F3F-20ECAC00B35E}" name="Service Life Unit Cost" dataDxfId="2"/>
    <tableColumn id="3" xr3:uid="{4E6F922A-565C-4C04-9FC7-98ED523AE021}" name="Source" dataDxfId="1" dataCellStyle="Hyperlink"/>
    <tableColumn id="4" xr3:uid="{9AC4C99B-89A7-4159-ACB8-61E82A9D777B}" name="Notes"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4541C0E1-F88A-4D81-9173-A50BC565D5A9}" name="Contents" displayName="Contents" ref="A11:A18" totalsRowShown="0" dataDxfId="50" headerRowBorderDxfId="51" headerRowCellStyle="Heading 2">
  <autoFilter ref="A11:A18" xr:uid="{4541C0E1-F88A-4D81-9173-A50BC565D5A9}"/>
  <tableColumns count="1">
    <tableColumn id="1" xr3:uid="{4DDE5491-315B-41A1-9E7F-3D83B2E0679B}" name="Contents" dataDxfId="49"/>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AC36540D-124C-4E0E-8EA8-56903FAC71D9}" name="Introduction_Instructions" displayName="Introduction_Instructions" ref="A2:A9" totalsRowShown="0" headerRowDxfId="48" dataDxfId="46" headerRowBorderDxfId="47" headerRowCellStyle="Heading 2">
  <autoFilter ref="A2:A9" xr:uid="{AC36540D-124C-4E0E-8EA8-56903FAC71D9}"/>
  <tableColumns count="1">
    <tableColumn id="1" xr3:uid="{396E82E1-4E2C-4948-9FD4-33734603CF19}" name="Introduction and Instructions" dataDxfId="45"/>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A24E6AD2-3DB7-4F43-AF82-F0FA043EF2BD}" name="RecommendedWorkflow" displayName="RecommendedWorkflow" ref="A21:A27" totalsRowShown="0" dataDxfId="43" headerRowBorderDxfId="44" headerRowCellStyle="Heading 2">
  <autoFilter ref="A21:A27" xr:uid="{A24E6AD2-3DB7-4F43-AF82-F0FA043EF2BD}"/>
  <tableColumns count="1">
    <tableColumn id="1" xr3:uid="{66F3D369-F47A-49BD-86E7-34E1D463E850}" name="Recommended Workflow" dataDxfId="42"/>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E0645FB-9DB2-4787-A7F0-B3DB77239DD3}" name="RequiredDataElements" displayName="RequiredDataElements" ref="A2:B7" totalsRowShown="0">
  <autoFilter ref="A2:B7" xr:uid="{5E0645FB-9DB2-4787-A7F0-B3DB77239DD3}"/>
  <tableColumns count="2">
    <tableColumn id="1" xr3:uid="{40021C81-C9B3-4D98-8F20-D176D308C8DB}" name="Required Data Elements" dataDxfId="41" dataCellStyle="Normal"/>
    <tableColumn id="2" xr3:uid="{0E712D76-F008-4E7B-8C0C-58FDD937F41C}" name="User Input" dataCellStyle="required input"/>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DE23264-2DCD-410A-B42A-C61CB2E2257E}" name="OptionalDataElements" displayName="OptionalDataElements" ref="A9:B11" totalsRowShown="0">
  <autoFilter ref="A9:B11" xr:uid="{9DE23264-2DCD-410A-B42A-C61CB2E2257E}"/>
  <tableColumns count="2">
    <tableColumn id="1" xr3:uid="{835220A1-E3A7-4FE4-AD6E-9AEEF9124A68}" name="Optional Data Elements" dataDxfId="40" dataCellStyle="Normal"/>
    <tableColumn id="2" xr3:uid="{1AFE8E71-E94D-496A-92C8-08D89F995F37}" name="User Input" dataCellStyle="Optional input"/>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8DB44DC-75F0-45CE-B351-27F0A3E75568}" name="BCRTemplate" displayName="BCRTemplate" ref="A2:N37" totalsRowShown="0" headerRowCellStyle="Heading 2" dataCellStyle="Calculation">
  <autoFilter ref="A2:N37" xr:uid="{58DB44DC-75F0-45CE-B351-27F0A3E75568}"/>
  <sortState xmlns:xlrd2="http://schemas.microsoft.com/office/spreadsheetml/2017/richdata2" ref="A3:N37">
    <sortCondition descending="1" ref="C3:C37"/>
  </sortState>
  <tableColumns count="14">
    <tableColumn id="1" xr3:uid="{D07CADA2-E16E-4D68-98BA-BB4744CB0FB9}" name="PSC Category" dataDxfId="39"/>
    <tableColumn id="2" xr3:uid="{58A28745-79E3-49B0-94DF-F2E22FB31657}" name="Proven Safety Countermeasure" dataDxfId="38"/>
    <tableColumn id="3" xr3:uid="{2E7C3E3B-8259-411A-978A-1D20C3F65F42}" name="BCR"/>
    <tableColumn id="4" xr3:uid="{7AC1671B-EA30-49DA-940F-33043B16D547}" name="Source"/>
    <tableColumn id="5" xr3:uid="{A7C1DDB2-EF1F-48C0-9B8C-C48F2415BB05}" name="Notes"/>
    <tableColumn id="6" xr3:uid="{11CC00BA-443A-4567-815D-0297B6A9EAD0}" name="Installation Unit"/>
    <tableColumn id="7" xr3:uid="{E2D86F73-F2E8-4A94-AF66-1FF140BE62D3}" name="Service Life" dataDxfId="37"/>
    <tableColumn id="8" xr3:uid="{78BDAAEA-1154-4326-82D7-664833468F2D}" name="Service Life Unit Cost Estimate" dataDxfId="36" dataCellStyle="Currency"/>
    <tableColumn id="9" xr3:uid="{4B8B1304-F78C-4A25-B674-1CA0A685C16F}" name="Investment" dataDxfId="35" dataCellStyle="Currency"/>
    <tableColumn id="10" xr3:uid="{AD0E1EFF-3DF8-4C0A-AFB7-68D7BFA94DED}" name="Sites Treated" dataDxfId="34" dataCellStyle="Calculation">
      <calculatedColumnFormula>I3/H3</calculatedColumnFormula>
    </tableColumn>
    <tableColumn id="11" xr3:uid="{C56020E6-CCD2-4304-BA0A-A3D3BF8B0D9A}" name="Estimated Benefit" dataCellStyle="Calculation">
      <calculatedColumnFormula>I3*C3</calculatedColumnFormula>
    </tableColumn>
    <tableColumn id="12" xr3:uid="{58F9C201-BCFB-4526-8C06-7BCB4B1D0A12}" name="Estimated Crashes Prevented" dataDxfId="33" dataCellStyle="Calculation">
      <calculatedColumnFormula>K3/'Agency Customization - BCR'!B$5</calculatedColumnFormula>
    </tableColumn>
    <tableColumn id="13" xr3:uid="{91CA0FCC-0EE4-48BD-B050-BB128384AD5F}" name="Lives Saved" dataDxfId="32" dataCellStyle="Calculation">
      <calculatedColumnFormula>L3*'Agency Customization - BCR'!B$3</calculatedColumnFormula>
    </tableColumn>
    <tableColumn id="14" xr3:uid="{6EA8EB89-EC9D-408F-B636-2E54972F5326}" name="Serious Injuries Prevented" dataDxfId="31" dataCellStyle="Calculation">
      <calculatedColumnFormula>L3*'Agency Customization - BCR'!B$4</calculatedColumnFormula>
    </tableColumn>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A274F9F-01D9-437E-93E3-85547337D67F}" name="BCRResults" displayName="BCRResults" ref="A2:B7" totalsRowShown="0" headerRowCellStyle="Heading 2">
  <autoFilter ref="A2:B7" xr:uid="{DA274F9F-01D9-437E-93E3-85547337D67F}"/>
  <tableColumns count="2">
    <tableColumn id="1" xr3:uid="{F17FC4ED-67D8-456A-9801-2D6608F10AA0}" name="Metric" dataDxfId="30"/>
    <tableColumn id="2" xr3:uid="{131D324C-2F2C-4E04-A104-221AC91ED7E6}" name="Total Results" dataCellStyle="Output"/>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C749F44-525B-4B6C-B19C-7598F8AD656E}" name="RequiredDataElements2" displayName="RequiredDataElements2" ref="A2:B9" totalsRowShown="0" headerRowCellStyle="Heading 2">
  <autoFilter ref="A2:B9" xr:uid="{DC749F44-525B-4B6C-B19C-7598F8AD656E}"/>
  <tableColumns count="2">
    <tableColumn id="1" xr3:uid="{4385AFFE-3210-4FC6-BEB5-15C1CBA808E7}" name="Required Data Elements" dataDxfId="29"/>
    <tableColumn id="2" xr3:uid="{F9ADF04D-73DB-458D-A6DA-0FF01D54E87D}" name="Input" dataCellStyle="required input"/>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https://www.cti.uconn.edu/Document.asp?DocID=8762" TargetMode="External"/><Relationship Id="rId13" Type="http://schemas.openxmlformats.org/officeDocument/2006/relationships/hyperlink" Target="https://www.pedbikeinfo.org/downloads/Countermeasure%20Costs_Report_Nov2013.pdf" TargetMode="External"/><Relationship Id="rId18" Type="http://schemas.openxmlformats.org/officeDocument/2006/relationships/hyperlink" Target="https://www.fdot.gov/fpo/fpc/reports/costpermile" TargetMode="External"/><Relationship Id="rId3" Type="http://schemas.openxmlformats.org/officeDocument/2006/relationships/hyperlink" Target="https://highways.dot.gov/sites/fhwa.dot.gov/files/2022-06/fhwasa19040.pdf" TargetMode="External"/><Relationship Id="rId21" Type="http://schemas.openxmlformats.org/officeDocument/2006/relationships/hyperlink" Target="https://highways.dot.gov/safety/hsip/hsip-special-rules/manual-selecting-safety-improvements-high-risk-rural-roads" TargetMode="External"/><Relationship Id="rId7" Type="http://schemas.openxmlformats.org/officeDocument/2006/relationships/hyperlink" Target="https://highways.dot.gov/safety/hsip/hsip-special-rules/manual-selecting-safety-improvements-high-risk-rural-roads" TargetMode="External"/><Relationship Id="rId12" Type="http://schemas.openxmlformats.org/officeDocument/2006/relationships/hyperlink" Target="https://highways.dot.gov/safety/rwd/keep-vehicles-road/pavement-friction/hfst" TargetMode="External"/><Relationship Id="rId17" Type="http://schemas.openxmlformats.org/officeDocument/2006/relationships/hyperlink" Target="https://www.fdot.gov/fpo/fpc/reports/costpermile" TargetMode="External"/><Relationship Id="rId2" Type="http://schemas.openxmlformats.org/officeDocument/2006/relationships/hyperlink" Target="https://highways.dot.gov/sites/fhwa.dot.gov/files/2022-06/techSheet_VizEnhancemt2018.pdf" TargetMode="External"/><Relationship Id="rId16" Type="http://schemas.openxmlformats.org/officeDocument/2006/relationships/hyperlink" Target="https://www.fdot.gov/fpo/fpc/reports/costpermile" TargetMode="External"/><Relationship Id="rId20" Type="http://schemas.openxmlformats.org/officeDocument/2006/relationships/hyperlink" Target="https://www.fdot.gov/fpo/fpc/reports/costpermile" TargetMode="External"/><Relationship Id="rId1" Type="http://schemas.openxmlformats.org/officeDocument/2006/relationships/hyperlink" Target="https://www.nhtsa.gov/book/countermeasures-that-work/speeding-and-speed-management/countermeasures/legislation-and-licensing/variable-speed-limits" TargetMode="External"/><Relationship Id="rId6" Type="http://schemas.openxmlformats.org/officeDocument/2006/relationships/hyperlink" Target="https://www.fdot.gov/fpo/fpc/reports/costpermile" TargetMode="External"/><Relationship Id="rId11" Type="http://schemas.openxmlformats.org/officeDocument/2006/relationships/hyperlink" Target="https://highways.dot.gov/sites/fhwa.dot.gov/files/2022-06/fhwasa18047.pdf" TargetMode="External"/><Relationship Id="rId24" Type="http://schemas.openxmlformats.org/officeDocument/2006/relationships/table" Target="../tables/table14.xml"/><Relationship Id="rId5" Type="http://schemas.openxmlformats.org/officeDocument/2006/relationships/hyperlink" Target="https://highways.dot.gov/sites/fhwa.dot.gov/files/2022-06/step_studio.pdf" TargetMode="External"/><Relationship Id="rId15" Type="http://schemas.openxmlformats.org/officeDocument/2006/relationships/hyperlink" Target="https://www.fdot.gov/fpo/fpc/reports/costpermile" TargetMode="External"/><Relationship Id="rId23" Type="http://schemas.openxmlformats.org/officeDocument/2006/relationships/hyperlink" Target="https://www.fdot.gov/fpo/fpc/reports/costpermile" TargetMode="External"/><Relationship Id="rId10" Type="http://schemas.openxmlformats.org/officeDocument/2006/relationships/hyperlink" Target="https://highways.dot.gov/safety/hsip/highway-safety-improvement-program-2019-national-summary-report" TargetMode="External"/><Relationship Id="rId19" Type="http://schemas.openxmlformats.org/officeDocument/2006/relationships/hyperlink" Target="https://highways.dot.gov/safety/hsip/hsip-special-rules/manual-selecting-safety-improvements-high-risk-rural-roads" TargetMode="External"/><Relationship Id="rId4" Type="http://schemas.openxmlformats.org/officeDocument/2006/relationships/hyperlink" Target="https://highways.dot.gov/sites/fhwa.dot.gov/files/2022-08/techSheet_PedRefugeIsland2018.pdf" TargetMode="External"/><Relationship Id="rId9" Type="http://schemas.openxmlformats.org/officeDocument/2006/relationships/hyperlink" Target="https://fdotwww.blob.core.windows.net/sitefinity/docs/default-source/safety/11a-safetyengineering/fhwa-reports-plans/hsip-2023-annual-report-submission.pdf?sfvrsn=f2117007_1" TargetMode="External"/><Relationship Id="rId14" Type="http://schemas.openxmlformats.org/officeDocument/2006/relationships/hyperlink" Target="https://highways.dot.gov/sites/fhwa.dot.gov/files/2022-06/step_studio.pdf" TargetMode="External"/><Relationship Id="rId22" Type="http://schemas.openxmlformats.org/officeDocument/2006/relationships/hyperlink" Target="https://highways.dot.gov/safety/hsip/highway-safety-improvement-program-2019-national-summary-report"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5" Type="http://schemas.openxmlformats.org/officeDocument/2006/relationships/table" Target="../tables/table4.xml"/><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table" Target="../tables/table5.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cmfclearinghouse.org/detail.php?facid=11003" TargetMode="External"/><Relationship Id="rId1" Type="http://schemas.openxmlformats.org/officeDocument/2006/relationships/hyperlink" Target="https://highways.dot.gov/safety/speed-management/noteworthy-practice-booklet-speed-management/case-study-7-noteworthy-speed"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michigan.gov/mdot/-/media/Project/Websites/MDOT/Programs/Research-Administration/Final-Reports/SPR-1734-Report.pdf" TargetMode="External"/><Relationship Id="rId13" Type="http://schemas.openxmlformats.org/officeDocument/2006/relationships/hyperlink" Target="https://highways.dot.gov/safety/hsip/hsip-special-rules/manual-selecting-safety-improvements-high-risk-rural-roads" TargetMode="External"/><Relationship Id="rId3" Type="http://schemas.openxmlformats.org/officeDocument/2006/relationships/hyperlink" Target="https://rosap.ntl.bts.gov/view/dot/60218" TargetMode="External"/><Relationship Id="rId7" Type="http://schemas.openxmlformats.org/officeDocument/2006/relationships/hyperlink" Target="https://highways.dot.gov/safety/proven-safety-countermeasures/safetyedgesm" TargetMode="External"/><Relationship Id="rId12" Type="http://schemas.openxmlformats.org/officeDocument/2006/relationships/hyperlink" Target="https://www.larson.psu.edu/assets/docs/final-report-2023-05-s.pdf" TargetMode="External"/><Relationship Id="rId2" Type="http://schemas.openxmlformats.org/officeDocument/2006/relationships/hyperlink" Target="https://www.michigan.gov/mdot/-/media/Project/Websites/MDOT/Programs/Research-Administration/Final-Reports/SPR-1734-Report.pdf" TargetMode="External"/><Relationship Id="rId1" Type="http://schemas.openxmlformats.org/officeDocument/2006/relationships/hyperlink" Target="https://www.fhwa.dot.gov/publications/research/safety/18060/18060.pdf" TargetMode="External"/><Relationship Id="rId6" Type="http://schemas.openxmlformats.org/officeDocument/2006/relationships/hyperlink" Target="https://highways.dot.gov/sites/fhwa.dot.gov/files/2023-08/PA-HSIP-2022.pdf" TargetMode="External"/><Relationship Id="rId11" Type="http://schemas.openxmlformats.org/officeDocument/2006/relationships/hyperlink" Target="https://www.michigan.gov/mdot/-/media/Project/Websites/MDOT/Programs/Research-Administration/Final-Reports/SPR-1725-Report.pdf" TargetMode="External"/><Relationship Id="rId5" Type="http://schemas.openxmlformats.org/officeDocument/2006/relationships/hyperlink" Target="https://highways.dot.gov/safety/proven-safety-countermeasures/wider-edge-lines" TargetMode="External"/><Relationship Id="rId15" Type="http://schemas.openxmlformats.org/officeDocument/2006/relationships/table" Target="../tables/table7.xml"/><Relationship Id="rId10" Type="http://schemas.openxmlformats.org/officeDocument/2006/relationships/hyperlink" Target="https://highways.dot.gov/safety/hsip/hsip-special-rules/manual-selecting-safety-improvements-high-risk-rural-roads" TargetMode="External"/><Relationship Id="rId4" Type="http://schemas.openxmlformats.org/officeDocument/2006/relationships/hyperlink" Target="https://mdl.mndot.gov/items/202006" TargetMode="External"/><Relationship Id="rId9" Type="http://schemas.openxmlformats.org/officeDocument/2006/relationships/hyperlink" Target="https://highways.dot.gov/safety/hsip/hsip-special-rules/manual-selecting-safety-improvements-high-risk-rural-roads" TargetMode="External"/><Relationship Id="rId14"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table" Target="../tables/table8.xml"/></Relationships>
</file>

<file path=xl/worksheets/_rels/sheet7.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table" Target="../tables/table10.xml"/><Relationship Id="rId1" Type="http://schemas.openxmlformats.org/officeDocument/2006/relationships/table" Target="../tables/table9.xml"/></Relationships>
</file>

<file path=xl/worksheets/_rels/sheet8.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table" Target="../tables/table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134CB-C8EE-47A7-8BE5-E3DC3C7E1021}">
  <dimension ref="A1:A2"/>
  <sheetViews>
    <sheetView workbookViewId="0">
      <selection activeCell="A2" sqref="A2"/>
    </sheetView>
  </sheetViews>
  <sheetFormatPr defaultRowHeight="15" x14ac:dyDescent="0.25"/>
  <cols>
    <col min="1" max="1" width="140" customWidth="1"/>
  </cols>
  <sheetData>
    <row r="1" spans="1:1" ht="273.75" customHeight="1" x14ac:dyDescent="0.25">
      <c r="A1" s="57" t="s">
        <v>401</v>
      </c>
    </row>
    <row r="2" spans="1:1" ht="101.25" customHeight="1" x14ac:dyDescent="0.3">
      <c r="A2" s="58" t="s">
        <v>402</v>
      </c>
    </row>
  </sheetData>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5F995-8D46-4ECF-A21C-08E872DDB801}">
  <dimension ref="A1:D28"/>
  <sheetViews>
    <sheetView workbookViewId="0">
      <selection activeCell="A2" sqref="A2"/>
    </sheetView>
  </sheetViews>
  <sheetFormatPr defaultRowHeight="15" x14ac:dyDescent="0.25"/>
  <cols>
    <col min="1" max="1" width="95.85546875" bestFit="1" customWidth="1"/>
    <col min="2" max="2" width="18.85546875" bestFit="1" customWidth="1"/>
    <col min="3" max="3" width="46.7109375" bestFit="1" customWidth="1"/>
    <col min="4" max="4" width="104.140625" bestFit="1" customWidth="1"/>
  </cols>
  <sheetData>
    <row r="1" spans="1:4" ht="23.25" x14ac:dyDescent="0.35">
      <c r="A1" s="25" t="s">
        <v>394</v>
      </c>
    </row>
    <row r="2" spans="1:4" ht="18" thickBot="1" x14ac:dyDescent="0.35">
      <c r="A2" s="26" t="s">
        <v>393</v>
      </c>
      <c r="B2" s="26" t="s">
        <v>395</v>
      </c>
      <c r="C2" s="26" t="s">
        <v>18</v>
      </c>
      <c r="D2" s="26" t="s">
        <v>19</v>
      </c>
    </row>
    <row r="3" spans="1:4" ht="15.75" thickTop="1" x14ac:dyDescent="0.25">
      <c r="A3" s="51" t="s">
        <v>197</v>
      </c>
      <c r="B3" s="52">
        <v>1000000</v>
      </c>
      <c r="C3" s="49" t="s">
        <v>198</v>
      </c>
      <c r="D3" s="51" t="s">
        <v>199</v>
      </c>
    </row>
    <row r="4" spans="1:4" x14ac:dyDescent="0.25">
      <c r="A4" s="51" t="s">
        <v>200</v>
      </c>
      <c r="B4" s="52">
        <v>175000</v>
      </c>
      <c r="C4" s="59" t="s">
        <v>201</v>
      </c>
      <c r="D4" s="51" t="s">
        <v>202</v>
      </c>
    </row>
    <row r="5" spans="1:4" x14ac:dyDescent="0.25">
      <c r="A5" s="51" t="s">
        <v>203</v>
      </c>
      <c r="B5" s="52">
        <v>16400</v>
      </c>
      <c r="C5" s="49" t="s">
        <v>204</v>
      </c>
      <c r="D5" s="51" t="s">
        <v>205</v>
      </c>
    </row>
    <row r="6" spans="1:4" x14ac:dyDescent="0.25">
      <c r="A6" s="51" t="s">
        <v>206</v>
      </c>
      <c r="B6" s="52">
        <v>1200</v>
      </c>
      <c r="C6" s="49" t="s">
        <v>204</v>
      </c>
      <c r="D6" s="51" t="s">
        <v>207</v>
      </c>
    </row>
    <row r="7" spans="1:4" x14ac:dyDescent="0.25">
      <c r="A7" s="51" t="s">
        <v>208</v>
      </c>
      <c r="B7" s="52">
        <v>13500</v>
      </c>
      <c r="C7" s="49" t="s">
        <v>204</v>
      </c>
      <c r="D7" s="51" t="s">
        <v>209</v>
      </c>
    </row>
    <row r="8" spans="1:4" x14ac:dyDescent="0.25">
      <c r="A8" s="51" t="s">
        <v>210</v>
      </c>
      <c r="B8" s="52">
        <v>58000</v>
      </c>
      <c r="C8" s="59" t="s">
        <v>204</v>
      </c>
      <c r="D8" s="51" t="s">
        <v>209</v>
      </c>
    </row>
    <row r="9" spans="1:4" x14ac:dyDescent="0.25">
      <c r="A9" s="51" t="s">
        <v>211</v>
      </c>
      <c r="B9" s="52">
        <v>22250</v>
      </c>
      <c r="C9" s="59" t="s">
        <v>204</v>
      </c>
      <c r="D9" s="51" t="s">
        <v>209</v>
      </c>
    </row>
    <row r="10" spans="1:4" x14ac:dyDescent="0.25">
      <c r="A10" s="51" t="s">
        <v>213</v>
      </c>
      <c r="B10" s="52">
        <v>300000</v>
      </c>
      <c r="C10" s="59" t="s">
        <v>214</v>
      </c>
      <c r="D10" s="51" t="s">
        <v>215</v>
      </c>
    </row>
    <row r="11" spans="1:4" x14ac:dyDescent="0.25">
      <c r="A11" s="51" t="s">
        <v>216</v>
      </c>
      <c r="B11" s="52">
        <v>2600</v>
      </c>
      <c r="C11" s="51" t="s">
        <v>217</v>
      </c>
      <c r="D11" s="51" t="s">
        <v>218</v>
      </c>
    </row>
    <row r="12" spans="1:4" x14ac:dyDescent="0.25">
      <c r="A12" s="51" t="s">
        <v>219</v>
      </c>
      <c r="B12" s="52">
        <v>2415</v>
      </c>
      <c r="C12" s="59" t="s">
        <v>214</v>
      </c>
      <c r="D12" s="51" t="s">
        <v>220</v>
      </c>
    </row>
    <row r="13" spans="1:4" x14ac:dyDescent="0.25">
      <c r="A13" s="51" t="s">
        <v>221</v>
      </c>
      <c r="B13" s="52">
        <v>238000</v>
      </c>
      <c r="C13" s="59" t="s">
        <v>214</v>
      </c>
      <c r="D13" s="51" t="s">
        <v>222</v>
      </c>
    </row>
    <row r="14" spans="1:4" x14ac:dyDescent="0.25">
      <c r="A14" s="51" t="s">
        <v>396</v>
      </c>
      <c r="B14" s="52">
        <v>51000</v>
      </c>
      <c r="C14" s="59" t="s">
        <v>214</v>
      </c>
      <c r="D14" s="51" t="s">
        <v>223</v>
      </c>
    </row>
    <row r="15" spans="1:4" x14ac:dyDescent="0.25">
      <c r="A15" s="51" t="s">
        <v>224</v>
      </c>
      <c r="B15" s="52">
        <v>40000</v>
      </c>
      <c r="C15" s="59" t="s">
        <v>214</v>
      </c>
      <c r="D15" s="51" t="s">
        <v>225</v>
      </c>
    </row>
    <row r="16" spans="1:4" x14ac:dyDescent="0.25">
      <c r="A16" s="51" t="s">
        <v>226</v>
      </c>
      <c r="B16" s="52">
        <v>500000</v>
      </c>
      <c r="C16" s="59" t="s">
        <v>227</v>
      </c>
      <c r="D16" s="51" t="s">
        <v>228</v>
      </c>
    </row>
    <row r="17" spans="1:4" x14ac:dyDescent="0.25">
      <c r="A17" s="51" t="s">
        <v>229</v>
      </c>
      <c r="B17" s="52">
        <v>2000</v>
      </c>
      <c r="C17" s="59" t="s">
        <v>227</v>
      </c>
      <c r="D17" s="51" t="s">
        <v>230</v>
      </c>
    </row>
    <row r="18" spans="1:4" x14ac:dyDescent="0.25">
      <c r="A18" s="51" t="s">
        <v>231</v>
      </c>
      <c r="B18" s="52">
        <v>2600</v>
      </c>
      <c r="C18" s="59" t="s">
        <v>214</v>
      </c>
      <c r="D18" s="51" t="s">
        <v>232</v>
      </c>
    </row>
    <row r="19" spans="1:4" x14ac:dyDescent="0.25">
      <c r="A19" s="51" t="s">
        <v>233</v>
      </c>
      <c r="B19" s="52">
        <v>2000</v>
      </c>
      <c r="C19" s="49" t="s">
        <v>234</v>
      </c>
      <c r="D19" s="51" t="s">
        <v>235</v>
      </c>
    </row>
    <row r="20" spans="1:4" x14ac:dyDescent="0.25">
      <c r="A20" s="51" t="s">
        <v>236</v>
      </c>
      <c r="B20" s="52">
        <v>195000</v>
      </c>
      <c r="C20" s="49" t="s">
        <v>237</v>
      </c>
      <c r="D20" s="53" t="s">
        <v>212</v>
      </c>
    </row>
    <row r="21" spans="1:4" x14ac:dyDescent="0.25">
      <c r="A21" s="51" t="s">
        <v>238</v>
      </c>
      <c r="B21" s="52">
        <v>500000</v>
      </c>
      <c r="C21" s="59" t="s">
        <v>227</v>
      </c>
      <c r="D21" s="51" t="s">
        <v>239</v>
      </c>
    </row>
    <row r="22" spans="1:4" x14ac:dyDescent="0.25">
      <c r="A22" s="51" t="s">
        <v>240</v>
      </c>
      <c r="B22" s="52">
        <v>1160000</v>
      </c>
      <c r="C22" s="59" t="s">
        <v>241</v>
      </c>
      <c r="D22" s="51" t="s">
        <v>242</v>
      </c>
    </row>
    <row r="23" spans="1:4" x14ac:dyDescent="0.25">
      <c r="A23" s="51" t="s">
        <v>243</v>
      </c>
      <c r="B23" s="52">
        <v>1240000</v>
      </c>
      <c r="C23" s="59" t="s">
        <v>241</v>
      </c>
      <c r="D23" s="51" t="s">
        <v>244</v>
      </c>
    </row>
    <row r="24" spans="1:4" x14ac:dyDescent="0.25">
      <c r="A24" s="51" t="s">
        <v>245</v>
      </c>
      <c r="B24" s="52">
        <v>10000</v>
      </c>
      <c r="C24" s="49" t="s">
        <v>227</v>
      </c>
      <c r="D24" s="51" t="s">
        <v>246</v>
      </c>
    </row>
    <row r="25" spans="1:4" x14ac:dyDescent="0.25">
      <c r="A25" s="51" t="s">
        <v>247</v>
      </c>
      <c r="B25" s="52">
        <v>5000</v>
      </c>
      <c r="C25" s="51" t="s">
        <v>248</v>
      </c>
      <c r="D25" s="53" t="s">
        <v>212</v>
      </c>
    </row>
    <row r="26" spans="1:4" x14ac:dyDescent="0.25">
      <c r="A26" s="51" t="s">
        <v>249</v>
      </c>
      <c r="B26" s="52">
        <v>110000</v>
      </c>
      <c r="C26" s="59" t="s">
        <v>214</v>
      </c>
      <c r="D26" s="51" t="s">
        <v>250</v>
      </c>
    </row>
    <row r="27" spans="1:4" x14ac:dyDescent="0.25">
      <c r="A27" s="54" t="s">
        <v>251</v>
      </c>
      <c r="B27" s="55">
        <v>70000</v>
      </c>
      <c r="C27" s="50" t="s">
        <v>227</v>
      </c>
      <c r="D27" s="54" t="s">
        <v>252</v>
      </c>
    </row>
    <row r="28" spans="1:4" x14ac:dyDescent="0.25">
      <c r="A28" s="22" t="s">
        <v>253</v>
      </c>
    </row>
  </sheetData>
  <hyperlinks>
    <hyperlink ref="C3" r:id="rId1" xr:uid="{F166372C-968C-4F20-BD10-8590003C8B1B}"/>
    <hyperlink ref="C5" r:id="rId2" xr:uid="{703699CB-69D6-4760-BF21-9A4765E259B0}"/>
    <hyperlink ref="C6" r:id="rId3" xr:uid="{29E27D1F-4162-4F16-A1D7-EC3432C41356}"/>
    <hyperlink ref="C7" r:id="rId4" xr:uid="{BC599270-E965-4FDF-A915-EC45C252E2D0}"/>
    <hyperlink ref="C8" r:id="rId5" xr:uid="{7E1C5C99-F118-48F8-81FC-D2AB853C3058}"/>
    <hyperlink ref="C10" r:id="rId6" xr:uid="{75280897-5D71-4EA2-B999-761C07D55C09}"/>
    <hyperlink ref="C16" r:id="rId7" xr:uid="{FDE22926-6BBF-4A1C-89BC-82BE378EB656}"/>
    <hyperlink ref="C19" r:id="rId8" location=":~:text=This%20countermeasure%20is%20low%2Dcost,backplates%20with%20integral%20retroreflective%20material." xr:uid="{FC59CBDC-2E83-43C0-8565-ADF3821BA75E}"/>
    <hyperlink ref="C20" r:id="rId9" xr:uid="{A6D4736F-69FB-4816-9710-CFEABAEC72CB}"/>
    <hyperlink ref="C22" r:id="rId10" xr:uid="{F4AA2C77-F67E-4DA2-A0EF-89C2933702D9}"/>
    <hyperlink ref="C24" r:id="rId11" xr:uid="{6089BAF8-5D60-4375-A662-6A5AA08FCCD3}"/>
    <hyperlink ref="C27" r:id="rId12" xr:uid="{D97F8E41-010C-42D3-A575-7BADCCD7546D}"/>
    <hyperlink ref="C4" r:id="rId13" xr:uid="{662D079F-F027-413F-BEC0-D17329EB1394}"/>
    <hyperlink ref="C9" r:id="rId14" xr:uid="{5738D724-A914-40E1-982B-A7C77855635F}"/>
    <hyperlink ref="C12" r:id="rId15" xr:uid="{D7A64784-3521-4F58-80BC-975AB1EB0CC0}"/>
    <hyperlink ref="C13" r:id="rId16" xr:uid="{5CCDBFD3-A6A9-4E5F-90B3-BFF593E1A3B3}"/>
    <hyperlink ref="C14" r:id="rId17" xr:uid="{3CE6D5AA-BD5F-4E32-8931-0D5518B58FD1}"/>
    <hyperlink ref="C15" r:id="rId18" xr:uid="{AE2108C6-0B4A-46D1-A44C-F2488867F3F5}"/>
    <hyperlink ref="C17" r:id="rId19" xr:uid="{0B007666-2B85-4A8B-9370-5256CB8733C0}"/>
    <hyperlink ref="C18" r:id="rId20" xr:uid="{EC5779C9-6D16-40C0-A155-26AAD552E604}"/>
    <hyperlink ref="C21" r:id="rId21" xr:uid="{CF024C50-9310-41EF-A838-B51B26005BFC}"/>
    <hyperlink ref="C23" r:id="rId22" xr:uid="{3D018273-2CC6-401A-AC37-063F50383461}"/>
    <hyperlink ref="C26" r:id="rId23" xr:uid="{4FDB4710-1D6C-438C-A0DB-9D8D74D7B644}"/>
  </hyperlinks>
  <pageMargins left="0.7" right="0.7" top="0.75" bottom="0.75" header="0.3" footer="0.3"/>
  <tableParts count="1">
    <tablePart r:id="rId2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3726F-9188-4BF6-8116-706EF93234D9}">
  <dimension ref="A1:A51"/>
  <sheetViews>
    <sheetView tabSelected="1" zoomScale="130" zoomScaleNormal="130" workbookViewId="0">
      <selection activeCell="A5" sqref="A5"/>
    </sheetView>
  </sheetViews>
  <sheetFormatPr defaultRowHeight="15" x14ac:dyDescent="0.25"/>
  <cols>
    <col min="1" max="1" width="100.85546875" customWidth="1"/>
  </cols>
  <sheetData>
    <row r="1" spans="1:1" ht="23.25" x14ac:dyDescent="0.35">
      <c r="A1" s="25" t="s">
        <v>271</v>
      </c>
    </row>
    <row r="2" spans="1:1" ht="18" thickBot="1" x14ac:dyDescent="0.3">
      <c r="A2" s="24" t="s">
        <v>272</v>
      </c>
    </row>
    <row r="3" spans="1:1" ht="75.75" thickTop="1" x14ac:dyDescent="0.25">
      <c r="A3" s="36" t="s">
        <v>397</v>
      </c>
    </row>
    <row r="4" spans="1:1" x14ac:dyDescent="0.25">
      <c r="A4" s="36"/>
    </row>
    <row r="5" spans="1:1" ht="75" x14ac:dyDescent="0.25">
      <c r="A5" s="36" t="s">
        <v>398</v>
      </c>
    </row>
    <row r="6" spans="1:1" x14ac:dyDescent="0.25">
      <c r="A6" s="36"/>
    </row>
    <row r="7" spans="1:1" ht="75" x14ac:dyDescent="0.25">
      <c r="A7" s="36" t="s">
        <v>399</v>
      </c>
    </row>
    <row r="8" spans="1:1" x14ac:dyDescent="0.25">
      <c r="A8" s="42"/>
    </row>
    <row r="9" spans="1:1" ht="45" x14ac:dyDescent="0.25">
      <c r="A9" s="36" t="s">
        <v>400</v>
      </c>
    </row>
    <row r="10" spans="1:1" x14ac:dyDescent="0.25">
      <c r="A10" s="15"/>
    </row>
    <row r="11" spans="1:1" ht="18" thickBot="1" x14ac:dyDescent="0.35">
      <c r="A11" s="26" t="s">
        <v>385</v>
      </c>
    </row>
    <row r="12" spans="1:1" ht="15.75" thickTop="1" x14ac:dyDescent="0.25">
      <c r="A12" s="43" t="s">
        <v>386</v>
      </c>
    </row>
    <row r="13" spans="1:1" x14ac:dyDescent="0.25">
      <c r="A13" s="43" t="s">
        <v>387</v>
      </c>
    </row>
    <row r="14" spans="1:1" x14ac:dyDescent="0.25">
      <c r="A14" s="43" t="s">
        <v>388</v>
      </c>
    </row>
    <row r="15" spans="1:1" x14ac:dyDescent="0.25">
      <c r="A15" s="43" t="s">
        <v>389</v>
      </c>
    </row>
    <row r="16" spans="1:1" x14ac:dyDescent="0.25">
      <c r="A16" s="43" t="s">
        <v>390</v>
      </c>
    </row>
    <row r="17" spans="1:1" x14ac:dyDescent="0.25">
      <c r="A17" s="43" t="s">
        <v>391</v>
      </c>
    </row>
    <row r="18" spans="1:1" x14ac:dyDescent="0.25">
      <c r="A18" s="43" t="s">
        <v>392</v>
      </c>
    </row>
    <row r="19" spans="1:1" x14ac:dyDescent="0.25">
      <c r="A19" s="15"/>
    </row>
    <row r="20" spans="1:1" x14ac:dyDescent="0.25">
      <c r="A20" s="14"/>
    </row>
    <row r="21" spans="1:1" ht="18" thickBot="1" x14ac:dyDescent="0.35">
      <c r="A21" s="26" t="s">
        <v>0</v>
      </c>
    </row>
    <row r="22" spans="1:1" ht="15.75" thickTop="1" x14ac:dyDescent="0.25">
      <c r="A22" s="36" t="s">
        <v>373</v>
      </c>
    </row>
    <row r="23" spans="1:1" ht="45" x14ac:dyDescent="0.25">
      <c r="A23" s="36" t="s">
        <v>379</v>
      </c>
    </row>
    <row r="24" spans="1:1" ht="30" x14ac:dyDescent="0.25">
      <c r="A24" s="36" t="s">
        <v>378</v>
      </c>
    </row>
    <row r="25" spans="1:1" x14ac:dyDescent="0.25">
      <c r="A25" s="36" t="s">
        <v>374</v>
      </c>
    </row>
    <row r="26" spans="1:1" x14ac:dyDescent="0.25">
      <c r="A26" s="36" t="s">
        <v>375</v>
      </c>
    </row>
    <row r="27" spans="1:1" x14ac:dyDescent="0.25">
      <c r="A27" s="36" t="s">
        <v>376</v>
      </c>
    </row>
    <row r="28" spans="1:1" x14ac:dyDescent="0.25">
      <c r="A28" s="15"/>
    </row>
    <row r="29" spans="1:1" ht="18" thickBot="1" x14ac:dyDescent="0.35">
      <c r="A29" s="26" t="s">
        <v>1</v>
      </c>
    </row>
    <row r="30" spans="1:1" ht="30.75" thickTop="1" x14ac:dyDescent="0.25">
      <c r="A30" s="36" t="s">
        <v>377</v>
      </c>
    </row>
    <row r="31" spans="1:1" x14ac:dyDescent="0.25">
      <c r="A31" s="28" t="s">
        <v>381</v>
      </c>
    </row>
    <row r="32" spans="1:1" x14ac:dyDescent="0.25">
      <c r="A32" s="27" t="s">
        <v>382</v>
      </c>
    </row>
    <row r="33" spans="1:1" x14ac:dyDescent="0.25">
      <c r="A33" s="34" t="s">
        <v>383</v>
      </c>
    </row>
    <row r="34" spans="1:1" x14ac:dyDescent="0.25">
      <c r="A34" s="35" t="s">
        <v>384</v>
      </c>
    </row>
    <row r="36" spans="1:1" x14ac:dyDescent="0.25">
      <c r="A36" s="17"/>
    </row>
    <row r="37" spans="1:1" x14ac:dyDescent="0.25">
      <c r="A37" s="16"/>
    </row>
    <row r="38" spans="1:1" x14ac:dyDescent="0.25">
      <c r="A38" s="17"/>
    </row>
    <row r="39" spans="1:1" x14ac:dyDescent="0.25">
      <c r="A39" s="17"/>
    </row>
    <row r="40" spans="1:1" x14ac:dyDescent="0.25">
      <c r="A40" s="17"/>
    </row>
    <row r="41" spans="1:1" x14ac:dyDescent="0.25">
      <c r="A41" s="17"/>
    </row>
    <row r="42" spans="1:1" x14ac:dyDescent="0.25">
      <c r="A42" s="17"/>
    </row>
    <row r="43" spans="1:1" x14ac:dyDescent="0.25">
      <c r="A43" s="17"/>
    </row>
    <row r="44" spans="1:1" x14ac:dyDescent="0.25">
      <c r="A44" s="17"/>
    </row>
    <row r="45" spans="1:1" x14ac:dyDescent="0.25">
      <c r="A45" s="16"/>
    </row>
    <row r="46" spans="1:1" x14ac:dyDescent="0.25">
      <c r="A46" s="17"/>
    </row>
    <row r="47" spans="1:1" x14ac:dyDescent="0.25">
      <c r="A47" s="17"/>
    </row>
    <row r="48" spans="1:1" x14ac:dyDescent="0.25">
      <c r="A48" s="17"/>
    </row>
    <row r="49" spans="1:1" x14ac:dyDescent="0.25">
      <c r="A49" s="17"/>
    </row>
    <row r="51" spans="1:1" x14ac:dyDescent="0.25">
      <c r="A51" s="13"/>
    </row>
  </sheetData>
  <hyperlinks>
    <hyperlink ref="A12" location="'Agency Customization - BCR'!A1" display="Agency Customization - BCR: Users enter data to customize the BCR Template." xr:uid="{D4CC0755-854D-43F1-AA5D-3A902774CBFC}"/>
    <hyperlink ref="A13" location="'BCR Template'!A1" display="BCR Template: Users prioritize PSCs using BCR." xr:uid="{7B58949A-2878-45E6-AD59-1B6C21DF9BAB}"/>
    <hyperlink ref="A14" location="'BCR Results'!A1" display="BCR Results: Users review overall results from BCR Template." xr:uid="{A2E33C01-3B95-404B-A810-78C2241F4078}"/>
    <hyperlink ref="A15" location="'Agency Customization - CM Score'!A1" display="Agency Customization - CM Score: Users enter data to customize the CM Score Template." xr:uid="{8413AF86-0D6E-4D8D-BBD1-8AB61C5A83D8}"/>
    <hyperlink ref="A16" location="'CM Score Template'!A1" display="CM Score Template: Users prioritize PSCs using CM Score." xr:uid="{D651359E-B8D8-44C1-98F8-FCF084669B22}"/>
    <hyperlink ref="A17" location="'CM Score Results'!A1" display="CM Score Results: Users review overall results from CM Score Template." xr:uid="{9D59BA8B-9A42-46CD-BBCC-8BF487B4293E}"/>
    <hyperlink ref="A18" location="'PSC Cost Information'!A1" display="PSC Cost Information: Users can reference this workbook for recommended PSC unit costs." xr:uid="{099DAE52-0AB7-41B7-A865-40A9AF78C4BF}"/>
  </hyperlinks>
  <pageMargins left="0.7" right="0.7" top="0.75" bottom="0.75" header="0.3" footer="0.3"/>
  <pageSetup orientation="portrait"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C6AEA-3F8A-4BA4-9D7E-2B2FA7EC624C}">
  <dimension ref="A1:B11"/>
  <sheetViews>
    <sheetView zoomScale="145" zoomScaleNormal="145" workbookViewId="0">
      <selection activeCell="B10" sqref="B10"/>
    </sheetView>
  </sheetViews>
  <sheetFormatPr defaultRowHeight="15" x14ac:dyDescent="0.25"/>
  <cols>
    <col min="1" max="1" width="65.42578125" bestFit="1" customWidth="1"/>
    <col min="2" max="2" width="15.85546875" bestFit="1" customWidth="1"/>
  </cols>
  <sheetData>
    <row r="1" spans="1:2" ht="23.25" x14ac:dyDescent="0.35">
      <c r="A1" s="25" t="s">
        <v>285</v>
      </c>
    </row>
    <row r="2" spans="1:2" ht="18" thickBot="1" x14ac:dyDescent="0.35">
      <c r="A2" s="26" t="s">
        <v>273</v>
      </c>
      <c r="B2" s="26" t="s">
        <v>278</v>
      </c>
    </row>
    <row r="3" spans="1:2" ht="15.75" thickTop="1" x14ac:dyDescent="0.25">
      <c r="A3" s="44" t="s">
        <v>289</v>
      </c>
      <c r="B3" s="27">
        <v>5.0000000000000001E-3</v>
      </c>
    </row>
    <row r="4" spans="1:2" x14ac:dyDescent="0.25">
      <c r="A4" s="44" t="s">
        <v>3</v>
      </c>
      <c r="B4" s="27">
        <v>0.01</v>
      </c>
    </row>
    <row r="5" spans="1:2" x14ac:dyDescent="0.25">
      <c r="A5" s="44" t="s">
        <v>290</v>
      </c>
      <c r="B5" s="37">
        <v>125000</v>
      </c>
    </row>
    <row r="6" spans="1:2" x14ac:dyDescent="0.25">
      <c r="A6" s="44" t="s">
        <v>6</v>
      </c>
      <c r="B6" s="37">
        <v>50000</v>
      </c>
    </row>
    <row r="7" spans="1:2" x14ac:dyDescent="0.25">
      <c r="A7" s="44" t="s">
        <v>274</v>
      </c>
      <c r="B7" s="37">
        <v>500000</v>
      </c>
    </row>
    <row r="9" spans="1:2" ht="18" thickBot="1" x14ac:dyDescent="0.35">
      <c r="A9" s="26" t="s">
        <v>275</v>
      </c>
      <c r="B9" s="26" t="s">
        <v>278</v>
      </c>
    </row>
    <row r="10" spans="1:2" ht="15.75" thickTop="1" x14ac:dyDescent="0.25">
      <c r="A10" s="44" t="s">
        <v>276</v>
      </c>
      <c r="B10" s="28">
        <v>15000</v>
      </c>
    </row>
    <row r="11" spans="1:2" x14ac:dyDescent="0.25">
      <c r="A11" s="44" t="s">
        <v>277</v>
      </c>
      <c r="B11" s="28">
        <v>10000</v>
      </c>
    </row>
  </sheetData>
  <pageMargins left="0.7" right="0.7" top="0.75" bottom="0.75" header="0.3" footer="0.3"/>
  <tableParts count="2">
    <tablePart r:id="rId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FBE30-45FF-4BD5-99AF-1BB086FE965B}">
  <dimension ref="A1:O38"/>
  <sheetViews>
    <sheetView workbookViewId="0">
      <pane xSplit="2" ySplit="1" topLeftCell="C2" activePane="bottomRight" state="frozen"/>
      <selection pane="topRight" activeCell="C1" sqref="C1"/>
      <selection pane="bottomLeft" activeCell="A2" sqref="A2"/>
      <selection pane="bottomRight" activeCell="E6" sqref="E6"/>
    </sheetView>
  </sheetViews>
  <sheetFormatPr defaultRowHeight="15" x14ac:dyDescent="0.25"/>
  <cols>
    <col min="1" max="1" width="17.5703125" bestFit="1" customWidth="1"/>
    <col min="2" max="2" width="81.85546875" bestFit="1" customWidth="1"/>
    <col min="3" max="3" width="17.5703125" bestFit="1" customWidth="1"/>
    <col min="4" max="4" width="17.5703125" customWidth="1"/>
    <col min="5" max="5" width="52.85546875" customWidth="1"/>
    <col min="6" max="6" width="65" bestFit="1" customWidth="1"/>
    <col min="7" max="7" width="20.5703125" bestFit="1" customWidth="1"/>
    <col min="8" max="8" width="10" bestFit="1" customWidth="1"/>
    <col min="9" max="9" width="16.42578125" style="4" bestFit="1" customWidth="1"/>
    <col min="10" max="10" width="12" bestFit="1" customWidth="1"/>
    <col min="11" max="11" width="10.5703125" style="4" bestFit="1" customWidth="1"/>
    <col min="13" max="13" width="33.140625" bestFit="1" customWidth="1"/>
    <col min="14" max="14" width="21.5703125" bestFit="1" customWidth="1"/>
    <col min="15" max="15" width="34.85546875" bestFit="1" customWidth="1"/>
  </cols>
  <sheetData>
    <row r="1" spans="1:15" s="1" customFormat="1" x14ac:dyDescent="0.25">
      <c r="A1" s="1" t="s">
        <v>14</v>
      </c>
      <c r="B1" s="1" t="s">
        <v>15</v>
      </c>
      <c r="C1" s="1" t="s">
        <v>16</v>
      </c>
      <c r="D1" s="1" t="s">
        <v>17</v>
      </c>
      <c r="E1" s="1" t="s">
        <v>18</v>
      </c>
      <c r="F1" s="1" t="s">
        <v>19</v>
      </c>
      <c r="G1" s="1" t="s">
        <v>20</v>
      </c>
      <c r="H1" s="1" t="s">
        <v>21</v>
      </c>
      <c r="I1" s="1" t="s">
        <v>22</v>
      </c>
      <c r="J1" s="1" t="s">
        <v>23</v>
      </c>
      <c r="K1" s="1" t="s">
        <v>24</v>
      </c>
      <c r="L1" s="1" t="s">
        <v>25</v>
      </c>
      <c r="M1" s="1" t="s">
        <v>26</v>
      </c>
      <c r="N1" s="1" t="s">
        <v>27</v>
      </c>
      <c r="O1" s="1" t="s">
        <v>28</v>
      </c>
    </row>
    <row r="2" spans="1:15" x14ac:dyDescent="0.25">
      <c r="A2" t="s">
        <v>29</v>
      </c>
      <c r="B2" t="s">
        <v>30</v>
      </c>
      <c r="C2">
        <v>0.74</v>
      </c>
      <c r="D2" t="s">
        <v>31</v>
      </c>
      <c r="E2" s="2" t="s">
        <v>32</v>
      </c>
      <c r="F2" t="s">
        <v>33</v>
      </c>
      <c r="G2" t="s">
        <v>34</v>
      </c>
      <c r="H2">
        <v>15</v>
      </c>
      <c r="I2" s="5"/>
      <c r="J2" s="7" t="e">
        <f>K2/I2</f>
        <v>#DIV/0!</v>
      </c>
      <c r="K2" s="6"/>
      <c r="L2" s="8">
        <f>K2/((1-C2)*100)</f>
        <v>0</v>
      </c>
      <c r="M2" s="9"/>
      <c r="N2" s="10" t="e">
        <f>(M2-(M2*C2))*'Agency Customization - BCR'!#REF!</f>
        <v>#REF!</v>
      </c>
      <c r="O2" s="10" t="e">
        <f>(M2-(M2*C2))*'Agency Customization - BCR'!#REF!</f>
        <v>#REF!</v>
      </c>
    </row>
    <row r="3" spans="1:15" x14ac:dyDescent="0.25">
      <c r="A3" t="s">
        <v>29</v>
      </c>
      <c r="B3" t="s">
        <v>35</v>
      </c>
      <c r="C3" s="3">
        <f>AVERAGE((1-0.37),(1-0.47),(1-0.2))</f>
        <v>0.65333333333333343</v>
      </c>
      <c r="D3" s="3" t="s">
        <v>31</v>
      </c>
      <c r="E3" t="s">
        <v>36</v>
      </c>
      <c r="F3" t="s">
        <v>37</v>
      </c>
      <c r="G3" t="s">
        <v>38</v>
      </c>
      <c r="H3">
        <v>10</v>
      </c>
      <c r="I3" s="5"/>
      <c r="J3" s="7" t="e">
        <f t="shared" ref="J3:J38" si="0">K3/I3</f>
        <v>#DIV/0!</v>
      </c>
      <c r="K3" s="6"/>
      <c r="L3" s="8">
        <f t="shared" ref="L3:L38" si="1">K3/((1-C3)*100)</f>
        <v>0</v>
      </c>
      <c r="M3" s="9"/>
      <c r="N3" s="10" t="e">
        <f>(M3-(M3*C3))*'Agency Customization - BCR'!#REF!</f>
        <v>#REF!</v>
      </c>
      <c r="O3" s="10" t="e">
        <f>(M3-(M3*C3))*'Agency Customization - BCR'!#REF!</f>
        <v>#REF!</v>
      </c>
    </row>
    <row r="4" spans="1:15" x14ac:dyDescent="0.25">
      <c r="A4" t="s">
        <v>29</v>
      </c>
      <c r="B4" t="s">
        <v>39</v>
      </c>
      <c r="C4">
        <v>0.49</v>
      </c>
      <c r="D4" t="s">
        <v>31</v>
      </c>
      <c r="E4" s="2" t="s">
        <v>40</v>
      </c>
      <c r="F4" t="s">
        <v>41</v>
      </c>
      <c r="G4" t="s">
        <v>34</v>
      </c>
      <c r="H4">
        <v>10</v>
      </c>
      <c r="I4" s="5"/>
      <c r="J4" s="7" t="e">
        <f t="shared" si="0"/>
        <v>#DIV/0!</v>
      </c>
      <c r="K4" s="6"/>
      <c r="L4" s="8">
        <f t="shared" si="1"/>
        <v>0</v>
      </c>
      <c r="M4" s="9"/>
      <c r="N4" s="10" t="e">
        <f>(M4-(M4*C4))*'Agency Customization - BCR'!#REF!</f>
        <v>#REF!</v>
      </c>
      <c r="O4" s="10" t="e">
        <f>(M4-(M4*C4))*'Agency Customization - BCR'!#REF!</f>
        <v>#REF!</v>
      </c>
    </row>
    <row r="5" spans="1:15" x14ac:dyDescent="0.25">
      <c r="A5" t="s">
        <v>42</v>
      </c>
      <c r="B5" t="s">
        <v>43</v>
      </c>
      <c r="C5">
        <f>AVERAGE((1-0.49),(1-0.3))</f>
        <v>0.60499999999999998</v>
      </c>
      <c r="D5" t="s">
        <v>31</v>
      </c>
      <c r="E5" t="s">
        <v>44</v>
      </c>
      <c r="F5" t="s">
        <v>45</v>
      </c>
      <c r="G5" t="s">
        <v>46</v>
      </c>
      <c r="H5">
        <v>20</v>
      </c>
      <c r="I5" s="5"/>
      <c r="J5" s="7" t="e">
        <f t="shared" si="0"/>
        <v>#DIV/0!</v>
      </c>
      <c r="K5" s="6"/>
      <c r="L5" s="8">
        <f t="shared" si="1"/>
        <v>0</v>
      </c>
      <c r="M5" s="9"/>
      <c r="N5" s="10" t="e">
        <f>(M5-(M5*C5))*'Agency Customization - BCR'!#REF!</f>
        <v>#REF!</v>
      </c>
      <c r="O5" s="10" t="e">
        <f>(M5-(M5*C5))*'Agency Customization - BCR'!#REF!</f>
        <v>#REF!</v>
      </c>
    </row>
    <row r="6" spans="1:15" x14ac:dyDescent="0.25">
      <c r="A6" t="s">
        <v>42</v>
      </c>
      <c r="B6" t="s">
        <v>47</v>
      </c>
      <c r="C6" s="3">
        <f>AVERAGE((1-0.4),(1-0.42),(1-0.25))</f>
        <v>0.64333333333333342</v>
      </c>
      <c r="D6" t="s">
        <v>48</v>
      </c>
      <c r="E6" t="s">
        <v>49</v>
      </c>
      <c r="F6" t="s">
        <v>50</v>
      </c>
      <c r="G6" t="s">
        <v>51</v>
      </c>
      <c r="H6">
        <v>5</v>
      </c>
      <c r="I6" s="5"/>
      <c r="J6" s="7" t="e">
        <f t="shared" si="0"/>
        <v>#DIV/0!</v>
      </c>
      <c r="K6" s="6"/>
      <c r="L6" s="8">
        <f t="shared" si="1"/>
        <v>0</v>
      </c>
      <c r="M6" s="9"/>
      <c r="N6" s="10" t="e">
        <f>(M6-(M6*C6))*'Agency Customization - BCR'!#REF!</f>
        <v>#REF!</v>
      </c>
      <c r="O6" s="10" t="e">
        <f>(M6-(M6*C6))*'Agency Customization - BCR'!#REF!</f>
        <v>#REF!</v>
      </c>
    </row>
    <row r="7" spans="1:15" x14ac:dyDescent="0.25">
      <c r="A7" t="s">
        <v>42</v>
      </c>
      <c r="B7" t="s">
        <v>52</v>
      </c>
      <c r="C7">
        <v>0.86</v>
      </c>
      <c r="D7" t="s">
        <v>31</v>
      </c>
      <c r="E7" t="s">
        <v>53</v>
      </c>
      <c r="F7" t="s">
        <v>54</v>
      </c>
      <c r="G7" t="s">
        <v>55</v>
      </c>
      <c r="H7">
        <v>10</v>
      </c>
      <c r="I7" s="5"/>
      <c r="J7" s="7" t="e">
        <f t="shared" si="0"/>
        <v>#DIV/0!</v>
      </c>
      <c r="K7" s="6"/>
      <c r="L7" s="8">
        <f t="shared" si="1"/>
        <v>0</v>
      </c>
      <c r="M7" s="9"/>
      <c r="N7" s="10" t="e">
        <f>(M7-(M7*C7))*'Agency Customization - BCR'!#REF!</f>
        <v>#REF!</v>
      </c>
      <c r="O7" s="10" t="e">
        <f>(M7-(M7*C7))*'Agency Customization - BCR'!#REF!</f>
        <v>#REF!</v>
      </c>
    </row>
    <row r="8" spans="1:15" x14ac:dyDescent="0.25">
      <c r="A8" t="s">
        <v>42</v>
      </c>
      <c r="B8" t="s">
        <v>56</v>
      </c>
      <c r="C8">
        <v>0.71399999999999997</v>
      </c>
      <c r="D8" t="s">
        <v>48</v>
      </c>
      <c r="E8" t="s">
        <v>57</v>
      </c>
      <c r="F8" t="s">
        <v>58</v>
      </c>
      <c r="G8" t="s">
        <v>51</v>
      </c>
      <c r="H8">
        <v>20</v>
      </c>
      <c r="I8" s="5"/>
      <c r="J8" s="7" t="e">
        <f t="shared" si="0"/>
        <v>#DIV/0!</v>
      </c>
      <c r="K8" s="6"/>
      <c r="L8" s="8">
        <f t="shared" si="1"/>
        <v>0</v>
      </c>
      <c r="M8" s="9"/>
      <c r="N8" s="10" t="e">
        <f>(M8-(M8*C8))*'Agency Customization - BCR'!#REF!</f>
        <v>#REF!</v>
      </c>
      <c r="O8" s="10" t="e">
        <f>(M8-(M8*C8))*'Agency Customization - BCR'!#REF!</f>
        <v>#REF!</v>
      </c>
    </row>
    <row r="9" spans="1:15" x14ac:dyDescent="0.25">
      <c r="A9" t="s">
        <v>42</v>
      </c>
      <c r="B9" t="s">
        <v>59</v>
      </c>
      <c r="C9">
        <v>0.84899999999999998</v>
      </c>
      <c r="D9" t="s">
        <v>31</v>
      </c>
      <c r="E9" t="s">
        <v>60</v>
      </c>
      <c r="F9" t="s">
        <v>61</v>
      </c>
      <c r="G9" t="s">
        <v>51</v>
      </c>
      <c r="H9">
        <v>10</v>
      </c>
      <c r="I9" s="5"/>
      <c r="J9" s="7" t="e">
        <f t="shared" si="0"/>
        <v>#DIV/0!</v>
      </c>
      <c r="K9" s="6"/>
      <c r="L9" s="8">
        <f t="shared" si="1"/>
        <v>0</v>
      </c>
      <c r="M9" s="9"/>
      <c r="N9" s="10" t="e">
        <f>(M9-(M9*C9))*'Agency Customization - BCR'!#REF!</f>
        <v>#REF!</v>
      </c>
      <c r="O9" s="10" t="e">
        <f>(M9-(M9*C9))*'Agency Customization - BCR'!#REF!</f>
        <v>#REF!</v>
      </c>
    </row>
    <row r="10" spans="1:15" x14ac:dyDescent="0.25">
      <c r="A10" t="s">
        <v>42</v>
      </c>
      <c r="B10" t="s">
        <v>62</v>
      </c>
      <c r="C10">
        <v>0.52600000000000002</v>
      </c>
      <c r="D10" t="s">
        <v>48</v>
      </c>
      <c r="E10" t="s">
        <v>63</v>
      </c>
      <c r="F10" t="s">
        <v>61</v>
      </c>
      <c r="G10" t="s">
        <v>51</v>
      </c>
      <c r="H10">
        <v>10</v>
      </c>
      <c r="I10" s="5"/>
      <c r="J10" s="7" t="e">
        <f t="shared" si="0"/>
        <v>#DIV/0!</v>
      </c>
      <c r="K10" s="6"/>
      <c r="L10" s="8">
        <f t="shared" si="1"/>
        <v>0</v>
      </c>
      <c r="M10" s="9"/>
      <c r="N10" s="10" t="e">
        <f>(M10-(M10*C10))*'Agency Customization - BCR'!#REF!</f>
        <v>#REF!</v>
      </c>
      <c r="O10" s="10" t="e">
        <f>(M10-(M10*C10))*'Agency Customization - BCR'!#REF!</f>
        <v>#REF!</v>
      </c>
    </row>
    <row r="11" spans="1:15" x14ac:dyDescent="0.25">
      <c r="A11" t="s">
        <v>42</v>
      </c>
      <c r="B11" t="s">
        <v>64</v>
      </c>
      <c r="C11">
        <f>AVERAGE((1-0.19),(1-0.47))</f>
        <v>0.67</v>
      </c>
      <c r="D11" t="s">
        <v>31</v>
      </c>
      <c r="E11" t="s">
        <v>65</v>
      </c>
      <c r="F11" t="s">
        <v>50</v>
      </c>
      <c r="G11" t="s">
        <v>34</v>
      </c>
      <c r="H11">
        <v>20</v>
      </c>
      <c r="I11" s="5"/>
      <c r="J11" s="7" t="e">
        <f t="shared" si="0"/>
        <v>#DIV/0!</v>
      </c>
      <c r="K11" s="6"/>
      <c r="L11" s="8">
        <f t="shared" si="1"/>
        <v>0</v>
      </c>
      <c r="M11" s="9"/>
      <c r="N11" s="10" t="e">
        <f>(M11-(M11*C11))*'Agency Customization - BCR'!#REF!</f>
        <v>#REF!</v>
      </c>
      <c r="O11" s="10" t="e">
        <f>(M11-(M11*C11))*'Agency Customization - BCR'!#REF!</f>
        <v>#REF!</v>
      </c>
    </row>
    <row r="12" spans="1:15" x14ac:dyDescent="0.25">
      <c r="A12" t="s">
        <v>42</v>
      </c>
      <c r="B12" t="s">
        <v>66</v>
      </c>
      <c r="C12">
        <f>AVERAGE((1-0.65),(1-0.89),(1-0.71))</f>
        <v>0.25</v>
      </c>
      <c r="D12" t="s">
        <v>48</v>
      </c>
      <c r="E12" t="s">
        <v>67</v>
      </c>
      <c r="F12" t="s">
        <v>50</v>
      </c>
      <c r="G12" t="s">
        <v>34</v>
      </c>
      <c r="H12">
        <v>20</v>
      </c>
      <c r="I12" s="5"/>
      <c r="J12" s="7" t="e">
        <f t="shared" si="0"/>
        <v>#DIV/0!</v>
      </c>
      <c r="K12" s="6"/>
      <c r="L12" s="8">
        <f t="shared" si="1"/>
        <v>0</v>
      </c>
      <c r="M12" s="9"/>
      <c r="N12" s="10" t="e">
        <f>(M12-(M12*C12))*'Agency Customization - BCR'!#REF!</f>
        <v>#REF!</v>
      </c>
      <c r="O12" s="10" t="e">
        <f>(M12-(M12*C12))*'Agency Customization - BCR'!#REF!</f>
        <v>#REF!</v>
      </c>
    </row>
    <row r="13" spans="1:15" x14ac:dyDescent="0.25">
      <c r="A13" t="s">
        <v>68</v>
      </c>
      <c r="B13" t="s">
        <v>69</v>
      </c>
      <c r="C13">
        <f>AVERAGE((1-0.16),(1-0.15),(1-0.6),(1-0.365),(1-0.18))</f>
        <v>0.70899999999999996</v>
      </c>
      <c r="D13" t="s">
        <v>70</v>
      </c>
      <c r="E13" t="s">
        <v>71</v>
      </c>
      <c r="F13" t="s">
        <v>50</v>
      </c>
      <c r="G13" t="s">
        <v>72</v>
      </c>
      <c r="H13">
        <v>15</v>
      </c>
      <c r="I13" s="5"/>
      <c r="J13" s="7" t="e">
        <f t="shared" si="0"/>
        <v>#DIV/0!</v>
      </c>
      <c r="K13" s="6"/>
      <c r="L13" s="8">
        <f t="shared" si="1"/>
        <v>0</v>
      </c>
      <c r="M13" s="9"/>
      <c r="N13" s="10" t="e">
        <f>(M13-(M13*C13))*'Agency Customization - BCR'!#REF!</f>
        <v>#REF!</v>
      </c>
      <c r="O13" s="10" t="e">
        <f>(M13-(M13*C13))*'Agency Customization - BCR'!#REF!</f>
        <v>#REF!</v>
      </c>
    </row>
    <row r="14" spans="1:15" x14ac:dyDescent="0.25">
      <c r="A14" t="s">
        <v>68</v>
      </c>
      <c r="B14" t="s">
        <v>73</v>
      </c>
      <c r="C14">
        <f>AVERAGE(1-0.44,1-0.64)</f>
        <v>0.46</v>
      </c>
      <c r="D14" t="s">
        <v>74</v>
      </c>
      <c r="E14" t="s">
        <v>75</v>
      </c>
      <c r="F14" t="s">
        <v>50</v>
      </c>
      <c r="G14" t="s">
        <v>34</v>
      </c>
      <c r="H14">
        <v>10</v>
      </c>
      <c r="I14" s="5"/>
      <c r="J14" s="7" t="e">
        <f t="shared" si="0"/>
        <v>#DIV/0!</v>
      </c>
      <c r="K14" s="6"/>
      <c r="L14" s="8">
        <f t="shared" si="1"/>
        <v>0</v>
      </c>
      <c r="M14" s="9"/>
      <c r="N14" s="10" t="e">
        <f>(M14-(M14*C14))*'Agency Customization - BCR'!#REF!</f>
        <v>#REF!</v>
      </c>
      <c r="O14" s="10" t="e">
        <f>(M14-(M14*C14))*'Agency Customization - BCR'!#REF!</f>
        <v>#REF!</v>
      </c>
    </row>
    <row r="15" spans="1:15" x14ac:dyDescent="0.25">
      <c r="A15" t="s">
        <v>68</v>
      </c>
      <c r="B15" t="s">
        <v>76</v>
      </c>
      <c r="C15">
        <f>AVERAGE(1-0.13,1-0.51)</f>
        <v>0.67999999999999994</v>
      </c>
      <c r="D15" t="s">
        <v>77</v>
      </c>
      <c r="E15" t="s">
        <v>75</v>
      </c>
      <c r="F15" t="s">
        <v>50</v>
      </c>
      <c r="G15" t="s">
        <v>34</v>
      </c>
      <c r="H15">
        <v>10</v>
      </c>
      <c r="I15" s="5"/>
      <c r="J15" s="7" t="e">
        <f t="shared" si="0"/>
        <v>#DIV/0!</v>
      </c>
      <c r="K15" s="6"/>
      <c r="L15" s="8">
        <f t="shared" si="1"/>
        <v>0</v>
      </c>
      <c r="M15" s="9"/>
      <c r="N15" s="10" t="e">
        <f>(M15-(M15*C15))*'Agency Customization - BCR'!#REF!</f>
        <v>#REF!</v>
      </c>
      <c r="O15" s="10" t="e">
        <f>(M15-(M15*C15))*'Agency Customization - BCR'!#REF!</f>
        <v>#REF!</v>
      </c>
    </row>
    <row r="16" spans="1:15" x14ac:dyDescent="0.25">
      <c r="A16" t="s">
        <v>68</v>
      </c>
      <c r="B16" t="s">
        <v>78</v>
      </c>
      <c r="C16">
        <v>0.89</v>
      </c>
      <c r="D16" t="s">
        <v>31</v>
      </c>
      <c r="E16" t="s">
        <v>79</v>
      </c>
      <c r="F16" t="s">
        <v>61</v>
      </c>
      <c r="G16" t="s">
        <v>34</v>
      </c>
      <c r="H16">
        <v>10</v>
      </c>
      <c r="I16" s="5"/>
      <c r="J16" s="7" t="e">
        <f t="shared" si="0"/>
        <v>#DIV/0!</v>
      </c>
      <c r="K16" s="6"/>
      <c r="L16" s="8">
        <f t="shared" si="1"/>
        <v>0</v>
      </c>
      <c r="M16" s="9"/>
      <c r="N16" s="10" t="e">
        <f>(M16-(M16*C16))*'Agency Customization - BCR'!#REF!</f>
        <v>#REF!</v>
      </c>
      <c r="O16" s="10" t="e">
        <f>(M16-(M16*C16))*'Agency Customization - BCR'!#REF!</f>
        <v>#REF!</v>
      </c>
    </row>
    <row r="17" spans="1:15" x14ac:dyDescent="0.25">
      <c r="A17" t="s">
        <v>68</v>
      </c>
      <c r="B17" t="s">
        <v>80</v>
      </c>
      <c r="C17">
        <f>AVERAGE(1-0.37,1-0.22)</f>
        <v>0.70500000000000007</v>
      </c>
      <c r="D17" t="s">
        <v>81</v>
      </c>
      <c r="E17" t="s">
        <v>82</v>
      </c>
      <c r="F17" t="s">
        <v>50</v>
      </c>
      <c r="G17" t="s">
        <v>34</v>
      </c>
      <c r="H17">
        <v>1</v>
      </c>
      <c r="I17" s="5"/>
      <c r="J17" s="7" t="e">
        <f t="shared" si="0"/>
        <v>#DIV/0!</v>
      </c>
      <c r="K17" s="6"/>
      <c r="L17" s="8">
        <f t="shared" si="1"/>
        <v>0</v>
      </c>
      <c r="M17" s="9"/>
      <c r="N17" s="10" t="e">
        <f>(M17-(M17*C17))*'Agency Customization - BCR'!#REF!</f>
        <v>#REF!</v>
      </c>
      <c r="O17" s="10" t="e">
        <f>(M17-(M17*C17))*'Agency Customization - BCR'!#REF!</f>
        <v>#REF!</v>
      </c>
    </row>
    <row r="18" spans="1:15" x14ac:dyDescent="0.25">
      <c r="A18" t="s">
        <v>68</v>
      </c>
      <c r="B18" t="s">
        <v>83</v>
      </c>
      <c r="C18">
        <v>0.03</v>
      </c>
      <c r="D18" t="s">
        <v>84</v>
      </c>
      <c r="E18" t="s">
        <v>85</v>
      </c>
      <c r="F18" t="s">
        <v>61</v>
      </c>
      <c r="G18" t="s">
        <v>34</v>
      </c>
      <c r="H18">
        <v>25</v>
      </c>
      <c r="I18" s="5"/>
      <c r="J18" s="7" t="e">
        <f t="shared" si="0"/>
        <v>#DIV/0!</v>
      </c>
      <c r="K18" s="6"/>
      <c r="L18" s="8">
        <f t="shared" si="1"/>
        <v>0</v>
      </c>
      <c r="M18" s="9"/>
      <c r="N18" s="10" t="e">
        <f>(M18-(M18*C18))*'Agency Customization - BCR'!#REF!</f>
        <v>#REF!</v>
      </c>
      <c r="O18" s="10" t="e">
        <f>(M18-(M18*C18))*'Agency Customization - BCR'!#REF!</f>
        <v>#REF!</v>
      </c>
    </row>
    <row r="19" spans="1:15" x14ac:dyDescent="0.25">
      <c r="A19" t="s">
        <v>68</v>
      </c>
      <c r="B19" t="s">
        <v>86</v>
      </c>
      <c r="C19">
        <v>0.03</v>
      </c>
      <c r="D19" t="s">
        <v>84</v>
      </c>
      <c r="E19" t="s">
        <v>85</v>
      </c>
      <c r="F19" t="s">
        <v>61</v>
      </c>
      <c r="G19" t="s">
        <v>34</v>
      </c>
      <c r="H19">
        <v>25</v>
      </c>
      <c r="I19" s="5"/>
      <c r="J19" s="7" t="e">
        <f t="shared" si="0"/>
        <v>#DIV/0!</v>
      </c>
      <c r="K19" s="6"/>
      <c r="L19" s="8">
        <f t="shared" si="1"/>
        <v>0</v>
      </c>
      <c r="M19" s="9"/>
      <c r="N19" s="10" t="e">
        <f>(M19-(M19*C19))*'Agency Customization - BCR'!#REF!</f>
        <v>#REF!</v>
      </c>
      <c r="O19" s="10" t="e">
        <f>(M19-(M19*C19))*'Agency Customization - BCR'!#REF!</f>
        <v>#REF!</v>
      </c>
    </row>
    <row r="20" spans="1:15" x14ac:dyDescent="0.25">
      <c r="A20" t="s">
        <v>68</v>
      </c>
      <c r="B20" t="s">
        <v>87</v>
      </c>
      <c r="C20">
        <v>0.03</v>
      </c>
      <c r="D20" t="s">
        <v>84</v>
      </c>
      <c r="E20" t="s">
        <v>85</v>
      </c>
      <c r="F20" t="s">
        <v>61</v>
      </c>
      <c r="G20" t="s">
        <v>34</v>
      </c>
      <c r="H20">
        <v>25</v>
      </c>
      <c r="I20" s="5"/>
      <c r="J20" s="7" t="e">
        <f t="shared" si="0"/>
        <v>#DIV/0!</v>
      </c>
      <c r="K20" s="6"/>
      <c r="L20" s="8">
        <f t="shared" si="1"/>
        <v>0</v>
      </c>
      <c r="M20" s="9"/>
      <c r="N20" s="10" t="e">
        <f>(M20-(M20*C20))*'Agency Customization - BCR'!#REF!</f>
        <v>#REF!</v>
      </c>
      <c r="O20" s="10" t="e">
        <f>(M20-(M20*C20))*'Agency Customization - BCR'!#REF!</f>
        <v>#REF!</v>
      </c>
    </row>
    <row r="21" spans="1:15" x14ac:dyDescent="0.25">
      <c r="A21" t="s">
        <v>68</v>
      </c>
      <c r="B21" t="s">
        <v>88</v>
      </c>
      <c r="C21">
        <f>AVERAGE(1-0.08,1-0.12)</f>
        <v>0.9</v>
      </c>
      <c r="D21" t="s">
        <v>89</v>
      </c>
      <c r="E21" t="s">
        <v>90</v>
      </c>
      <c r="F21" t="s">
        <v>50</v>
      </c>
      <c r="G21" t="s">
        <v>72</v>
      </c>
      <c r="H21">
        <v>20</v>
      </c>
      <c r="I21" s="5"/>
      <c r="J21" s="7" t="e">
        <f t="shared" si="0"/>
        <v>#DIV/0!</v>
      </c>
      <c r="K21" s="6"/>
      <c r="L21" s="8">
        <f t="shared" si="1"/>
        <v>0</v>
      </c>
      <c r="M21" s="9"/>
      <c r="N21" s="10" t="e">
        <f>(M21-(M21*C21))*'Agency Customization - BCR'!#REF!</f>
        <v>#REF!</v>
      </c>
      <c r="O21" s="10" t="e">
        <f>(M21-(M21*C21))*'Agency Customization - BCR'!#REF!</f>
        <v>#REF!</v>
      </c>
    </row>
    <row r="22" spans="1:15" x14ac:dyDescent="0.25">
      <c r="A22" t="s">
        <v>68</v>
      </c>
      <c r="B22" t="s">
        <v>91</v>
      </c>
      <c r="C22">
        <v>0.67</v>
      </c>
      <c r="D22" t="s">
        <v>31</v>
      </c>
      <c r="E22" t="s">
        <v>90</v>
      </c>
      <c r="F22" t="s">
        <v>50</v>
      </c>
      <c r="G22" t="s">
        <v>72</v>
      </c>
      <c r="H22">
        <v>10</v>
      </c>
      <c r="I22" s="5"/>
      <c r="J22" s="7" t="e">
        <f t="shared" si="0"/>
        <v>#DIV/0!</v>
      </c>
      <c r="K22" s="6"/>
      <c r="L22" s="8">
        <f t="shared" si="1"/>
        <v>0</v>
      </c>
      <c r="M22" s="9"/>
      <c r="N22" s="10" t="e">
        <f>(M22-(M22*C22))*'Agency Customization - BCR'!#REF!</f>
        <v>#REF!</v>
      </c>
      <c r="O22" s="10" t="e">
        <f>(M22-(M22*C22))*'Agency Customization - BCR'!#REF!</f>
        <v>#REF!</v>
      </c>
    </row>
    <row r="23" spans="1:15" x14ac:dyDescent="0.25">
      <c r="A23" t="s">
        <v>68</v>
      </c>
      <c r="B23" t="s">
        <v>92</v>
      </c>
      <c r="C23">
        <f>AVERAGE(0.688,0.5,0.68,0.51)</f>
        <v>0.59450000000000003</v>
      </c>
      <c r="D23" t="s">
        <v>31</v>
      </c>
      <c r="E23" t="s">
        <v>93</v>
      </c>
      <c r="F23" t="s">
        <v>94</v>
      </c>
      <c r="G23" t="s">
        <v>72</v>
      </c>
      <c r="H23">
        <v>20</v>
      </c>
      <c r="I23" s="5"/>
      <c r="J23" s="7" t="e">
        <f t="shared" si="0"/>
        <v>#DIV/0!</v>
      </c>
      <c r="K23" s="6"/>
      <c r="L23" s="8">
        <f t="shared" si="1"/>
        <v>0</v>
      </c>
      <c r="M23" s="9"/>
      <c r="N23" s="10" t="e">
        <f>(M23-(M23*C23))*'Agency Customization - BCR'!#REF!</f>
        <v>#REF!</v>
      </c>
      <c r="O23" s="10" t="e">
        <f>(M23-(M23*C23))*'Agency Customization - BCR'!#REF!</f>
        <v>#REF!</v>
      </c>
    </row>
    <row r="24" spans="1:15" x14ac:dyDescent="0.25">
      <c r="A24" t="s">
        <v>68</v>
      </c>
      <c r="B24" t="s">
        <v>95</v>
      </c>
      <c r="C24">
        <v>0.72299999999999998</v>
      </c>
      <c r="D24" t="s">
        <v>31</v>
      </c>
      <c r="E24" t="s">
        <v>96</v>
      </c>
      <c r="F24" t="s">
        <v>97</v>
      </c>
      <c r="G24" t="s">
        <v>72</v>
      </c>
      <c r="H24">
        <v>25</v>
      </c>
      <c r="I24" s="5"/>
      <c r="J24" s="7" t="e">
        <f t="shared" si="0"/>
        <v>#DIV/0!</v>
      </c>
      <c r="K24" s="6"/>
      <c r="L24" s="8">
        <f t="shared" si="1"/>
        <v>0</v>
      </c>
      <c r="M24" s="9"/>
      <c r="N24" s="10" t="e">
        <f>(M24-(M24*C24))*'Agency Customization - BCR'!#REF!</f>
        <v>#REF!</v>
      </c>
      <c r="O24" s="10" t="e">
        <f>(M24-(M24*C24))*'Agency Customization - BCR'!#REF!</f>
        <v>#REF!</v>
      </c>
    </row>
    <row r="25" spans="1:15" x14ac:dyDescent="0.25">
      <c r="A25" t="s">
        <v>98</v>
      </c>
      <c r="B25" t="s">
        <v>99</v>
      </c>
      <c r="C25">
        <v>0.85</v>
      </c>
      <c r="D25" t="s">
        <v>31</v>
      </c>
      <c r="E25" t="s">
        <v>100</v>
      </c>
      <c r="F25" t="s">
        <v>61</v>
      </c>
      <c r="G25" t="s">
        <v>55</v>
      </c>
      <c r="H25">
        <v>10</v>
      </c>
      <c r="I25" s="5"/>
      <c r="J25" s="7" t="e">
        <f t="shared" si="0"/>
        <v>#DIV/0!</v>
      </c>
      <c r="K25" s="6"/>
      <c r="L25" s="8">
        <f t="shared" si="1"/>
        <v>0</v>
      </c>
      <c r="M25" s="9"/>
      <c r="N25" s="10" t="e">
        <f>(M25-(M25*C25))*'Agency Customization - BCR'!#REF!</f>
        <v>#REF!</v>
      </c>
      <c r="O25" s="10" t="e">
        <f>(M25-(M25*C25))*'Agency Customization - BCR'!#REF!</f>
        <v>#REF!</v>
      </c>
    </row>
    <row r="26" spans="1:15" x14ac:dyDescent="0.25">
      <c r="A26" t="s">
        <v>98</v>
      </c>
      <c r="B26" t="s">
        <v>101</v>
      </c>
      <c r="C26">
        <f>AVERAGE((1-0.25),(1-0.31))</f>
        <v>0.72</v>
      </c>
      <c r="D26" t="s">
        <v>31</v>
      </c>
      <c r="E26" t="s">
        <v>102</v>
      </c>
      <c r="F26" t="s">
        <v>103</v>
      </c>
      <c r="G26" t="s">
        <v>34</v>
      </c>
      <c r="H26">
        <v>20</v>
      </c>
      <c r="I26" s="5"/>
      <c r="J26" s="7" t="e">
        <f t="shared" si="0"/>
        <v>#DIV/0!</v>
      </c>
      <c r="K26" s="6"/>
      <c r="L26" s="8">
        <f t="shared" si="1"/>
        <v>0</v>
      </c>
      <c r="M26" s="9"/>
      <c r="N26" s="10" t="e">
        <f>(M26-(M26*C26))*'Agency Customization - BCR'!#REF!</f>
        <v>#REF!</v>
      </c>
      <c r="O26" s="10" t="e">
        <f>(M26-(M26*C26))*'Agency Customization - BCR'!#REF!</f>
        <v>#REF!</v>
      </c>
    </row>
    <row r="27" spans="1:15" x14ac:dyDescent="0.25">
      <c r="A27" t="s">
        <v>98</v>
      </c>
      <c r="B27" t="s">
        <v>104</v>
      </c>
      <c r="C27">
        <v>0.64</v>
      </c>
      <c r="D27" t="s">
        <v>31</v>
      </c>
      <c r="E27" t="s">
        <v>105</v>
      </c>
      <c r="F27" t="s">
        <v>61</v>
      </c>
      <c r="G27" t="s">
        <v>106</v>
      </c>
      <c r="H27">
        <v>20</v>
      </c>
      <c r="I27" s="5"/>
      <c r="J27" s="7" t="e">
        <f t="shared" si="0"/>
        <v>#DIV/0!</v>
      </c>
      <c r="K27" s="6"/>
      <c r="L27" s="8">
        <f t="shared" si="1"/>
        <v>0</v>
      </c>
      <c r="M27" s="9"/>
      <c r="N27" s="10" t="e">
        <f>(M27-(M27*C27))*'Agency Customization - BCR'!#REF!</f>
        <v>#REF!</v>
      </c>
      <c r="O27" s="10" t="e">
        <f>(M27-(M27*C27))*'Agency Customization - BCR'!#REF!</f>
        <v>#REF!</v>
      </c>
    </row>
    <row r="28" spans="1:15" x14ac:dyDescent="0.25">
      <c r="A28" t="s">
        <v>98</v>
      </c>
      <c r="B28" t="s">
        <v>107</v>
      </c>
      <c r="C28">
        <f>AVERAGE(1-0.14,1-0.26)</f>
        <v>0.8</v>
      </c>
      <c r="D28" t="s">
        <v>31</v>
      </c>
      <c r="E28" t="s">
        <v>105</v>
      </c>
      <c r="F28" t="s">
        <v>50</v>
      </c>
      <c r="G28" t="s">
        <v>106</v>
      </c>
      <c r="H28">
        <v>20</v>
      </c>
      <c r="I28" s="5"/>
      <c r="J28" s="7" t="e">
        <f t="shared" si="0"/>
        <v>#DIV/0!</v>
      </c>
      <c r="K28" s="6"/>
      <c r="L28" s="8">
        <f t="shared" si="1"/>
        <v>0</v>
      </c>
      <c r="M28" s="9"/>
      <c r="N28" s="10" t="e">
        <f>(M28-(M28*C28))*'Agency Customization - BCR'!#REF!</f>
        <v>#REF!</v>
      </c>
      <c r="O28" s="10" t="e">
        <f>(M28-(M28*C28))*'Agency Customization - BCR'!#REF!</f>
        <v>#REF!</v>
      </c>
    </row>
    <row r="29" spans="1:15" x14ac:dyDescent="0.25">
      <c r="A29" t="s">
        <v>98</v>
      </c>
      <c r="B29" t="s">
        <v>108</v>
      </c>
      <c r="C29" s="3">
        <f>AVERAGE(1-0.54, 1-0.22,1-0.63)</f>
        <v>0.53666666666666663</v>
      </c>
      <c r="D29" t="s">
        <v>31</v>
      </c>
      <c r="E29" t="s">
        <v>109</v>
      </c>
      <c r="F29" t="s">
        <v>110</v>
      </c>
      <c r="G29" t="s">
        <v>106</v>
      </c>
      <c r="H29">
        <v>20</v>
      </c>
      <c r="I29" s="5"/>
      <c r="J29" s="7" t="e">
        <f t="shared" si="0"/>
        <v>#DIV/0!</v>
      </c>
      <c r="K29" s="6"/>
      <c r="L29" s="8">
        <f t="shared" si="1"/>
        <v>0</v>
      </c>
      <c r="M29" s="9"/>
      <c r="N29" s="10" t="e">
        <f>(M29-(M29*C29))*'Agency Customization - BCR'!#REF!</f>
        <v>#REF!</v>
      </c>
      <c r="O29" s="10" t="e">
        <f>(M29-(M29*C29))*'Agency Customization - BCR'!#REF!</f>
        <v>#REF!</v>
      </c>
    </row>
    <row r="30" spans="1:15" x14ac:dyDescent="0.25">
      <c r="A30" t="s">
        <v>98</v>
      </c>
      <c r="B30" t="s">
        <v>111</v>
      </c>
      <c r="C30">
        <v>0.7</v>
      </c>
      <c r="D30" t="s">
        <v>31</v>
      </c>
      <c r="E30" t="s">
        <v>109</v>
      </c>
      <c r="F30" t="s">
        <v>61</v>
      </c>
      <c r="G30" t="s">
        <v>106</v>
      </c>
      <c r="H30">
        <v>20</v>
      </c>
      <c r="I30" s="5"/>
      <c r="J30" s="7" t="e">
        <f t="shared" si="0"/>
        <v>#DIV/0!</v>
      </c>
      <c r="K30" s="6"/>
      <c r="L30" s="8">
        <f t="shared" si="1"/>
        <v>0</v>
      </c>
      <c r="M30" s="9"/>
      <c r="N30" s="10" t="e">
        <f>(M30-(M30*C30))*'Agency Customization - BCR'!#REF!</f>
        <v>#REF!</v>
      </c>
      <c r="O30" s="10" t="e">
        <f>(M30-(M30*C30))*'Agency Customization - BCR'!#REF!</f>
        <v>#REF!</v>
      </c>
    </row>
    <row r="31" spans="1:15" x14ac:dyDescent="0.25">
      <c r="A31" t="s">
        <v>98</v>
      </c>
      <c r="B31" t="s">
        <v>112</v>
      </c>
      <c r="C31">
        <v>0.2</v>
      </c>
      <c r="D31" t="s">
        <v>31</v>
      </c>
      <c r="E31" t="s">
        <v>113</v>
      </c>
      <c r="F31" t="s">
        <v>50</v>
      </c>
      <c r="G31" t="s">
        <v>106</v>
      </c>
      <c r="H31">
        <v>20</v>
      </c>
      <c r="I31" s="5"/>
      <c r="J31" s="7" t="e">
        <f t="shared" si="0"/>
        <v>#DIV/0!</v>
      </c>
      <c r="K31" s="6"/>
      <c r="L31" s="8">
        <f t="shared" si="1"/>
        <v>0</v>
      </c>
      <c r="M31" s="9"/>
      <c r="N31" s="10" t="e">
        <f>(M31-(M31*C31))*'Agency Customization - BCR'!#REF!</f>
        <v>#REF!</v>
      </c>
      <c r="O31" s="10" t="e">
        <f>(M31-(M31*C31))*'Agency Customization - BCR'!#REF!</f>
        <v>#REF!</v>
      </c>
    </row>
    <row r="32" spans="1:15" x14ac:dyDescent="0.25">
      <c r="A32" t="s">
        <v>98</v>
      </c>
      <c r="B32" t="s">
        <v>114</v>
      </c>
      <c r="C32">
        <v>0.9</v>
      </c>
      <c r="D32" t="s">
        <v>31</v>
      </c>
      <c r="E32" t="s">
        <v>115</v>
      </c>
      <c r="F32" t="s">
        <v>116</v>
      </c>
      <c r="G32" t="s">
        <v>106</v>
      </c>
      <c r="H32">
        <v>15</v>
      </c>
      <c r="I32" s="5"/>
      <c r="J32" s="7" t="e">
        <f t="shared" si="0"/>
        <v>#DIV/0!</v>
      </c>
      <c r="K32" s="6"/>
      <c r="L32" s="8">
        <f t="shared" si="1"/>
        <v>0</v>
      </c>
      <c r="M32" s="9"/>
      <c r="N32" s="10" t="e">
        <f>(M32-(M32*C32))*'Agency Customization - BCR'!#REF!</f>
        <v>#REF!</v>
      </c>
      <c r="O32" s="10" t="e">
        <f>(M32-(M32*C32))*'Agency Customization - BCR'!#REF!</f>
        <v>#REF!</v>
      </c>
    </row>
    <row r="33" spans="1:15" x14ac:dyDescent="0.25">
      <c r="A33" t="s">
        <v>98</v>
      </c>
      <c r="B33" t="s">
        <v>117</v>
      </c>
      <c r="C33">
        <v>0.88</v>
      </c>
      <c r="D33" t="s">
        <v>31</v>
      </c>
      <c r="E33" t="s">
        <v>118</v>
      </c>
      <c r="F33" t="s">
        <v>119</v>
      </c>
      <c r="G33" t="s">
        <v>106</v>
      </c>
      <c r="H33">
        <v>10</v>
      </c>
      <c r="I33" s="5"/>
      <c r="J33" s="7" t="e">
        <f t="shared" si="0"/>
        <v>#DIV/0!</v>
      </c>
      <c r="K33" s="6"/>
      <c r="L33" s="8">
        <f t="shared" si="1"/>
        <v>0</v>
      </c>
      <c r="M33" s="9"/>
      <c r="N33" s="10" t="e">
        <f>(M33-(M33*C33))*'Agency Customization - BCR'!#REF!</f>
        <v>#REF!</v>
      </c>
      <c r="O33" s="10" t="e">
        <f>(M33-(M33*C33))*'Agency Customization - BCR'!#REF!</f>
        <v>#REF!</v>
      </c>
    </row>
    <row r="34" spans="1:15" x14ac:dyDescent="0.25">
      <c r="A34" t="s">
        <v>120</v>
      </c>
      <c r="B34" t="s">
        <v>121</v>
      </c>
      <c r="C34">
        <v>0.83</v>
      </c>
      <c r="D34" t="s">
        <v>31</v>
      </c>
      <c r="E34" t="s">
        <v>122</v>
      </c>
      <c r="F34" t="s">
        <v>123</v>
      </c>
      <c r="G34" t="s">
        <v>124</v>
      </c>
      <c r="H34">
        <v>10</v>
      </c>
      <c r="I34" s="5"/>
      <c r="J34" s="7" t="e">
        <f t="shared" si="0"/>
        <v>#DIV/0!</v>
      </c>
      <c r="K34" s="6"/>
      <c r="L34" s="8">
        <f t="shared" si="1"/>
        <v>0</v>
      </c>
      <c r="M34" s="9"/>
      <c r="N34" s="10" t="e">
        <f>(M34-(M34*C34))*'Agency Customization - BCR'!#REF!</f>
        <v>#REF!</v>
      </c>
      <c r="O34" s="10" t="e">
        <f>(M34-(M34*C34))*'Agency Customization - BCR'!#REF!</f>
        <v>#REF!</v>
      </c>
    </row>
    <row r="35" spans="1:15" x14ac:dyDescent="0.25">
      <c r="A35" t="s">
        <v>120</v>
      </c>
      <c r="B35" t="s">
        <v>125</v>
      </c>
      <c r="C35" s="3">
        <f>AVERAGE(1-0.63,1-0.48,1-0.2)</f>
        <v>0.56333333333333335</v>
      </c>
      <c r="D35" t="s">
        <v>31</v>
      </c>
      <c r="E35" t="s">
        <v>126</v>
      </c>
      <c r="F35" t="s">
        <v>50</v>
      </c>
      <c r="G35" t="s">
        <v>127</v>
      </c>
      <c r="H35">
        <v>10</v>
      </c>
      <c r="I35" s="5"/>
      <c r="J35" s="7" t="e">
        <f t="shared" si="0"/>
        <v>#DIV/0!</v>
      </c>
      <c r="K35" s="6"/>
      <c r="L35" s="8">
        <f t="shared" si="1"/>
        <v>0</v>
      </c>
      <c r="M35" s="9"/>
      <c r="N35" s="10" t="e">
        <f>(M35-(M35*C35))*'Agency Customization - BCR'!#REF!</f>
        <v>#REF!</v>
      </c>
      <c r="O35" s="10" t="e">
        <f>(M35-(M35*C35))*'Agency Customization - BCR'!#REF!</f>
        <v>#REF!</v>
      </c>
    </row>
    <row r="36" spans="1:15" x14ac:dyDescent="0.25">
      <c r="A36" t="s">
        <v>120</v>
      </c>
      <c r="B36" t="s">
        <v>128</v>
      </c>
      <c r="C36">
        <f>AVERAGE(1-0.1,1-0.6)</f>
        <v>0.65</v>
      </c>
      <c r="D36" t="s">
        <v>31</v>
      </c>
      <c r="E36" t="s">
        <v>129</v>
      </c>
      <c r="F36" t="s">
        <v>50</v>
      </c>
      <c r="G36" t="s">
        <v>127</v>
      </c>
      <c r="H36">
        <v>20</v>
      </c>
      <c r="I36" s="5"/>
      <c r="J36" s="7" t="e">
        <f t="shared" si="0"/>
        <v>#DIV/0!</v>
      </c>
      <c r="K36" s="6"/>
      <c r="L36" s="8">
        <f t="shared" si="1"/>
        <v>0</v>
      </c>
      <c r="M36" s="9"/>
      <c r="N36" s="10" t="e">
        <f>(M36-(M36*C36))*'Agency Customization - BCR'!#REF!</f>
        <v>#REF!</v>
      </c>
      <c r="O36" s="10" t="e">
        <f>(M36-(M36*C36))*'Agency Customization - BCR'!#REF!</f>
        <v>#REF!</v>
      </c>
    </row>
    <row r="37" spans="1:15" x14ac:dyDescent="0.25">
      <c r="A37" t="s">
        <v>120</v>
      </c>
      <c r="B37" t="s">
        <v>130</v>
      </c>
      <c r="C37">
        <f>AVERAGE(1-0.33,1-0.38)</f>
        <v>0.64500000000000002</v>
      </c>
      <c r="D37" t="s">
        <v>131</v>
      </c>
      <c r="E37" t="s">
        <v>132</v>
      </c>
      <c r="F37" t="s">
        <v>133</v>
      </c>
      <c r="G37" t="s">
        <v>106</v>
      </c>
      <c r="H37">
        <v>15</v>
      </c>
      <c r="I37" s="5"/>
      <c r="J37" s="7" t="e">
        <f t="shared" si="0"/>
        <v>#DIV/0!</v>
      </c>
      <c r="K37" s="6"/>
      <c r="L37" s="8">
        <f t="shared" si="1"/>
        <v>0</v>
      </c>
      <c r="M37" s="9"/>
      <c r="N37" s="10" t="e">
        <f>(M37-(M37*C37))*'Agency Customization - BCR'!#REF!</f>
        <v>#REF!</v>
      </c>
      <c r="O37" s="10" t="e">
        <f>(M37-(M37*C37))*'Agency Customization - BCR'!#REF!</f>
        <v>#REF!</v>
      </c>
    </row>
    <row r="38" spans="1:15" x14ac:dyDescent="0.25">
      <c r="A38" t="s">
        <v>120</v>
      </c>
      <c r="B38" t="s">
        <v>134</v>
      </c>
      <c r="C38">
        <v>0.72</v>
      </c>
      <c r="D38" t="s">
        <v>131</v>
      </c>
      <c r="E38" t="s">
        <v>132</v>
      </c>
      <c r="F38" t="s">
        <v>135</v>
      </c>
      <c r="G38" t="s">
        <v>34</v>
      </c>
      <c r="H38">
        <v>15</v>
      </c>
      <c r="I38" s="5"/>
      <c r="J38" s="7" t="e">
        <f t="shared" si="0"/>
        <v>#DIV/0!</v>
      </c>
      <c r="K38" s="6"/>
      <c r="L38" s="8">
        <f t="shared" si="1"/>
        <v>0</v>
      </c>
      <c r="M38" s="9"/>
      <c r="N38" s="10" t="e">
        <f>(M38-(M38*C38))*'Agency Customization - BCR'!#REF!</f>
        <v>#REF!</v>
      </c>
      <c r="O38" s="10" t="e">
        <f>(M38-(M38*C38))*'Agency Customization - BCR'!#REF!</f>
        <v>#REF!</v>
      </c>
    </row>
  </sheetData>
  <hyperlinks>
    <hyperlink ref="E2" r:id="rId1" xr:uid="{92D95C83-F6DA-41A6-89FB-0B5D5E6D07E2}"/>
    <hyperlink ref="E4" r:id="rId2" xr:uid="{1633B23C-0680-42A0-84CE-68232F623931}"/>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B2F1B-3825-470D-BEF5-CE485D4105F7}">
  <dimension ref="A1:N38"/>
  <sheetViews>
    <sheetView zoomScale="115" zoomScaleNormal="115" workbookViewId="0">
      <pane xSplit="2" ySplit="2" topLeftCell="C3" activePane="bottomRight" state="frozen"/>
      <selection pane="topRight" activeCell="C1" sqref="C1"/>
      <selection pane="bottomLeft" activeCell="A2" sqref="A2"/>
      <selection pane="bottomRight" activeCell="C7" sqref="C7"/>
    </sheetView>
  </sheetViews>
  <sheetFormatPr defaultRowHeight="15" x14ac:dyDescent="0.25"/>
  <cols>
    <col min="1" max="1" width="26.42578125" customWidth="1"/>
    <col min="2" max="2" width="81.85546875" customWidth="1"/>
    <col min="3" max="3" width="17.5703125" bestFit="1" customWidth="1"/>
    <col min="4" max="4" width="52.85546875" customWidth="1"/>
    <col min="5" max="5" width="65" bestFit="1" customWidth="1"/>
    <col min="6" max="6" width="20.5703125" bestFit="1" customWidth="1"/>
    <col min="7" max="7" width="12.7109375" customWidth="1"/>
    <col min="8" max="8" width="28.85546875" customWidth="1"/>
    <col min="9" max="9" width="17.85546875" customWidth="1"/>
    <col min="10" max="10" width="18.42578125" customWidth="1"/>
    <col min="11" max="11" width="18.140625" bestFit="1" customWidth="1"/>
    <col min="12" max="12" width="28" bestFit="1" customWidth="1"/>
    <col min="13" max="13" width="12.85546875" bestFit="1" customWidth="1"/>
    <col min="14" max="14" width="29.28515625" customWidth="1"/>
  </cols>
  <sheetData>
    <row r="1" spans="1:14" ht="23.25" x14ac:dyDescent="0.35">
      <c r="A1" s="25" t="s">
        <v>258</v>
      </c>
    </row>
    <row r="2" spans="1:14" s="1" customFormat="1" ht="18" thickBot="1" x14ac:dyDescent="0.35">
      <c r="A2" s="26" t="s">
        <v>14</v>
      </c>
      <c r="B2" s="26" t="s">
        <v>15</v>
      </c>
      <c r="C2" s="26" t="s">
        <v>136</v>
      </c>
      <c r="D2" s="26" t="s">
        <v>18</v>
      </c>
      <c r="E2" s="26" t="s">
        <v>19</v>
      </c>
      <c r="F2" s="26" t="s">
        <v>20</v>
      </c>
      <c r="G2" s="26" t="s">
        <v>21</v>
      </c>
      <c r="H2" s="26" t="s">
        <v>190</v>
      </c>
      <c r="I2" s="26" t="s">
        <v>24</v>
      </c>
      <c r="J2" s="26" t="s">
        <v>23</v>
      </c>
      <c r="K2" s="26" t="s">
        <v>137</v>
      </c>
      <c r="L2" s="26" t="s">
        <v>138</v>
      </c>
      <c r="M2" s="26" t="s">
        <v>139</v>
      </c>
      <c r="N2" s="26" t="s">
        <v>140</v>
      </c>
    </row>
    <row r="3" spans="1:14" ht="15.75" thickTop="1" x14ac:dyDescent="0.25">
      <c r="A3" s="45" t="s">
        <v>68</v>
      </c>
      <c r="B3" s="45" t="s">
        <v>78</v>
      </c>
      <c r="C3" s="28">
        <v>700</v>
      </c>
      <c r="D3" s="56" t="s">
        <v>141</v>
      </c>
      <c r="E3" s="28" t="s">
        <v>142</v>
      </c>
      <c r="F3" s="28" t="s">
        <v>34</v>
      </c>
      <c r="G3" s="28">
        <v>10</v>
      </c>
      <c r="H3" s="37">
        <v>1000</v>
      </c>
      <c r="I3" s="37">
        <v>100000</v>
      </c>
      <c r="J3" s="10">
        <f t="shared" ref="J3:J37" si="0">I3/H3</f>
        <v>100</v>
      </c>
      <c r="K3" s="33">
        <f>I3*C3</f>
        <v>70000000</v>
      </c>
      <c r="L3" s="19">
        <f>K3/'Agency Customization - BCR'!B$5</f>
        <v>560</v>
      </c>
      <c r="M3" s="19">
        <f>L3*'Agency Customization - BCR'!B$3</f>
        <v>2.8000000000000003</v>
      </c>
      <c r="N3" s="19">
        <f>L3*'Agency Customization - BCR'!B$4</f>
        <v>5.6000000000000005</v>
      </c>
    </row>
    <row r="4" spans="1:14" x14ac:dyDescent="0.25">
      <c r="A4" s="45" t="s">
        <v>42</v>
      </c>
      <c r="B4" s="45" t="s">
        <v>52</v>
      </c>
      <c r="C4" s="28">
        <v>207</v>
      </c>
      <c r="D4" s="28" t="s">
        <v>143</v>
      </c>
      <c r="E4" s="28" t="s">
        <v>144</v>
      </c>
      <c r="F4" s="28" t="s">
        <v>55</v>
      </c>
      <c r="G4" s="28">
        <v>10</v>
      </c>
      <c r="H4" s="37">
        <v>8000</v>
      </c>
      <c r="I4" s="37">
        <v>500000</v>
      </c>
      <c r="J4" s="10">
        <f t="shared" si="0"/>
        <v>62.5</v>
      </c>
      <c r="K4" s="33">
        <f t="shared" ref="K4:K37" si="1">I4*C4</f>
        <v>103500000</v>
      </c>
      <c r="L4" s="19">
        <f>K4/'Agency Customization - BCR'!B$5</f>
        <v>828</v>
      </c>
      <c r="M4" s="19">
        <f>L4*'Agency Customization - BCR'!B$3</f>
        <v>4.1399999999999997</v>
      </c>
      <c r="N4" s="19">
        <f>L4*'Agency Customization - BCR'!B$4</f>
        <v>8.2799999999999994</v>
      </c>
    </row>
    <row r="5" spans="1:14" x14ac:dyDescent="0.25">
      <c r="A5" s="45" t="s">
        <v>68</v>
      </c>
      <c r="B5" s="45" t="s">
        <v>91</v>
      </c>
      <c r="C5" s="28">
        <v>197</v>
      </c>
      <c r="D5" s="28" t="s">
        <v>145</v>
      </c>
      <c r="E5" s="28" t="s">
        <v>146</v>
      </c>
      <c r="F5" s="28" t="s">
        <v>72</v>
      </c>
      <c r="G5" s="28">
        <v>10</v>
      </c>
      <c r="H5" s="37">
        <v>12000</v>
      </c>
      <c r="I5" s="37">
        <v>1000000</v>
      </c>
      <c r="J5" s="10">
        <f t="shared" si="0"/>
        <v>83.333333333333329</v>
      </c>
      <c r="K5" s="33">
        <f t="shared" si="1"/>
        <v>197000000</v>
      </c>
      <c r="L5" s="19">
        <f>K5/'Agency Customization - BCR'!B$5</f>
        <v>1576</v>
      </c>
      <c r="M5" s="19">
        <f>L5*'Agency Customization - BCR'!B$3</f>
        <v>7.88</v>
      </c>
      <c r="N5" s="19">
        <f>L5*'Agency Customization - BCR'!B$4</f>
        <v>15.76</v>
      </c>
    </row>
    <row r="6" spans="1:14" x14ac:dyDescent="0.25">
      <c r="A6" s="45" t="s">
        <v>68</v>
      </c>
      <c r="B6" s="45" t="s">
        <v>73</v>
      </c>
      <c r="C6" s="28">
        <v>121</v>
      </c>
      <c r="D6" s="56" t="s">
        <v>403</v>
      </c>
      <c r="E6" s="28" t="s">
        <v>147</v>
      </c>
      <c r="F6" s="28" t="s">
        <v>34</v>
      </c>
      <c r="G6" s="28">
        <v>10</v>
      </c>
      <c r="H6" s="37">
        <v>50000</v>
      </c>
      <c r="I6" s="37">
        <v>1000000</v>
      </c>
      <c r="J6" s="10">
        <f t="shared" si="0"/>
        <v>20</v>
      </c>
      <c r="K6" s="33">
        <f t="shared" si="1"/>
        <v>121000000</v>
      </c>
      <c r="L6" s="19">
        <f>K6/'Agency Customization - BCR'!B$5</f>
        <v>968</v>
      </c>
      <c r="M6" s="19">
        <f>L6*'Agency Customization - BCR'!B$3</f>
        <v>4.84</v>
      </c>
      <c r="N6" s="19">
        <f>L6*'Agency Customization - BCR'!B$4</f>
        <v>9.68</v>
      </c>
    </row>
    <row r="7" spans="1:14" x14ac:dyDescent="0.25">
      <c r="A7" s="45" t="s">
        <v>68</v>
      </c>
      <c r="B7" s="45" t="s">
        <v>76</v>
      </c>
      <c r="C7" s="28">
        <v>121</v>
      </c>
      <c r="D7" s="28" t="s">
        <v>403</v>
      </c>
      <c r="E7" s="28" t="s">
        <v>147</v>
      </c>
      <c r="F7" s="28" t="s">
        <v>34</v>
      </c>
      <c r="G7" s="28">
        <v>10</v>
      </c>
      <c r="H7" s="37">
        <v>100000</v>
      </c>
      <c r="I7" s="37">
        <v>1500000</v>
      </c>
      <c r="J7" s="10">
        <f t="shared" si="0"/>
        <v>15</v>
      </c>
      <c r="K7" s="33">
        <f t="shared" si="1"/>
        <v>181500000</v>
      </c>
      <c r="L7" s="19">
        <f>K7/'Agency Customization - BCR'!B$5</f>
        <v>1452</v>
      </c>
      <c r="M7" s="19">
        <f>L7*'Agency Customization - BCR'!B$3</f>
        <v>7.26</v>
      </c>
      <c r="N7" s="19">
        <f>L7*'Agency Customization - BCR'!B$4</f>
        <v>14.52</v>
      </c>
    </row>
    <row r="8" spans="1:14" x14ac:dyDescent="0.25">
      <c r="A8" s="45" t="s">
        <v>42</v>
      </c>
      <c r="B8" s="45" t="s">
        <v>62</v>
      </c>
      <c r="C8" s="28">
        <v>85.5</v>
      </c>
      <c r="D8" s="28" t="s">
        <v>148</v>
      </c>
      <c r="E8" s="28" t="s">
        <v>149</v>
      </c>
      <c r="F8" s="28" t="s">
        <v>51</v>
      </c>
      <c r="G8" s="28">
        <v>10</v>
      </c>
      <c r="H8" s="37">
        <v>50000</v>
      </c>
      <c r="I8" s="37">
        <v>1000000</v>
      </c>
      <c r="J8" s="10">
        <f t="shared" si="0"/>
        <v>20</v>
      </c>
      <c r="K8" s="33">
        <f t="shared" si="1"/>
        <v>85500000</v>
      </c>
      <c r="L8" s="19">
        <f>K8/'Agency Customization - BCR'!B$5</f>
        <v>684</v>
      </c>
      <c r="M8" s="19">
        <f>L8*'Agency Customization - BCR'!B$3</f>
        <v>3.42</v>
      </c>
      <c r="N8" s="19">
        <f>L8*'Agency Customization - BCR'!B$4</f>
        <v>6.84</v>
      </c>
    </row>
    <row r="9" spans="1:14" x14ac:dyDescent="0.25">
      <c r="A9" s="45" t="s">
        <v>42</v>
      </c>
      <c r="B9" s="45" t="s">
        <v>47</v>
      </c>
      <c r="C9" s="28">
        <f>AVERAGE(176.4, 66.8, 63.8, 32.2, 28)</f>
        <v>73.44</v>
      </c>
      <c r="D9" s="56" t="s">
        <v>150</v>
      </c>
      <c r="E9" s="28" t="s">
        <v>151</v>
      </c>
      <c r="F9" s="28" t="s">
        <v>51</v>
      </c>
      <c r="G9" s="28">
        <v>5</v>
      </c>
      <c r="H9" s="37"/>
      <c r="I9" s="37"/>
      <c r="J9" s="10" t="e">
        <f t="shared" si="0"/>
        <v>#DIV/0!</v>
      </c>
      <c r="K9" s="33">
        <f t="shared" si="1"/>
        <v>0</v>
      </c>
      <c r="L9" s="19">
        <f>K9/'Agency Customization - BCR'!B$5</f>
        <v>0</v>
      </c>
      <c r="M9" s="19">
        <f>L9*'Agency Customization - BCR'!B$3</f>
        <v>0</v>
      </c>
      <c r="N9" s="19">
        <f>L9*'Agency Customization - BCR'!B$4</f>
        <v>0</v>
      </c>
    </row>
    <row r="10" spans="1:14" x14ac:dyDescent="0.25">
      <c r="A10" s="45" t="s">
        <v>42</v>
      </c>
      <c r="B10" s="45" t="s">
        <v>56</v>
      </c>
      <c r="C10" s="28">
        <v>72.7</v>
      </c>
      <c r="D10" s="56" t="s">
        <v>150</v>
      </c>
      <c r="E10" s="28" t="s">
        <v>152</v>
      </c>
      <c r="F10" s="28" t="s">
        <v>51</v>
      </c>
      <c r="G10" s="28">
        <v>20</v>
      </c>
      <c r="H10" s="37"/>
      <c r="I10" s="37"/>
      <c r="J10" s="10" t="e">
        <f t="shared" si="0"/>
        <v>#DIV/0!</v>
      </c>
      <c r="K10" s="33">
        <f t="shared" si="1"/>
        <v>0</v>
      </c>
      <c r="L10" s="19">
        <f>K10/'Agency Customization - BCR'!B$5</f>
        <v>0</v>
      </c>
      <c r="M10" s="19">
        <f>L10*'Agency Customization - BCR'!B$3</f>
        <v>0</v>
      </c>
      <c r="N10" s="19">
        <f>L10*'Agency Customization - BCR'!B$4</f>
        <v>0</v>
      </c>
    </row>
    <row r="11" spans="1:14" x14ac:dyDescent="0.25">
      <c r="A11" s="45" t="s">
        <v>68</v>
      </c>
      <c r="B11" s="45" t="s">
        <v>87</v>
      </c>
      <c r="C11" s="28">
        <v>57</v>
      </c>
      <c r="D11" s="56" t="s">
        <v>153</v>
      </c>
      <c r="E11" s="28" t="s">
        <v>154</v>
      </c>
      <c r="F11" s="28" t="s">
        <v>34</v>
      </c>
      <c r="G11" s="28">
        <v>25</v>
      </c>
      <c r="H11" s="37"/>
      <c r="I11" s="37"/>
      <c r="J11" s="10" t="e">
        <f t="shared" si="0"/>
        <v>#DIV/0!</v>
      </c>
      <c r="K11" s="33">
        <f t="shared" si="1"/>
        <v>0</v>
      </c>
      <c r="L11" s="19">
        <f>K11/'Agency Customization - BCR'!B$5</f>
        <v>0</v>
      </c>
      <c r="M11" s="19">
        <f>L11*'Agency Customization - BCR'!B$3</f>
        <v>0</v>
      </c>
      <c r="N11" s="19">
        <f>L11*'Agency Customization - BCR'!B$4</f>
        <v>0</v>
      </c>
    </row>
    <row r="12" spans="1:14" x14ac:dyDescent="0.25">
      <c r="A12" s="45" t="s">
        <v>98</v>
      </c>
      <c r="B12" s="45" t="s">
        <v>107</v>
      </c>
      <c r="C12" s="28">
        <f>AVERAGE(16,55.9,6.8,35.3)</f>
        <v>28.5</v>
      </c>
      <c r="D12" s="56" t="s">
        <v>404</v>
      </c>
      <c r="E12" s="28" t="s">
        <v>155</v>
      </c>
      <c r="F12" s="28" t="s">
        <v>106</v>
      </c>
      <c r="G12" s="28">
        <v>20</v>
      </c>
      <c r="H12" s="37"/>
      <c r="I12" s="37"/>
      <c r="J12" s="10" t="e">
        <f t="shared" si="0"/>
        <v>#DIV/0!</v>
      </c>
      <c r="K12" s="33">
        <f t="shared" si="1"/>
        <v>0</v>
      </c>
      <c r="L12" s="19">
        <f>K12/'Agency Customization - BCR'!B$5</f>
        <v>0</v>
      </c>
      <c r="M12" s="19">
        <f>L12*'Agency Customization - BCR'!B$3</f>
        <v>0</v>
      </c>
      <c r="N12" s="19">
        <f>L12*'Agency Customization - BCR'!B$4</f>
        <v>0</v>
      </c>
    </row>
    <row r="13" spans="1:14" x14ac:dyDescent="0.25">
      <c r="A13" s="45" t="s">
        <v>68</v>
      </c>
      <c r="B13" s="45" t="s">
        <v>80</v>
      </c>
      <c r="C13" s="28">
        <v>25</v>
      </c>
      <c r="D13" s="56" t="s">
        <v>82</v>
      </c>
      <c r="E13" s="28" t="s">
        <v>156</v>
      </c>
      <c r="F13" s="28" t="s">
        <v>34</v>
      </c>
      <c r="G13" s="28">
        <v>1</v>
      </c>
      <c r="H13" s="37">
        <v>5000</v>
      </c>
      <c r="I13" s="37">
        <v>300000</v>
      </c>
      <c r="J13" s="10">
        <f t="shared" si="0"/>
        <v>60</v>
      </c>
      <c r="K13" s="33">
        <f t="shared" si="1"/>
        <v>7500000</v>
      </c>
      <c r="L13" s="19">
        <f>K13/'Agency Customization - BCR'!B$5</f>
        <v>60</v>
      </c>
      <c r="M13" s="19">
        <f>L13*'Agency Customization - BCR'!B$3</f>
        <v>0.3</v>
      </c>
      <c r="N13" s="19">
        <f>L13*'Agency Customization - BCR'!B$4</f>
        <v>0.6</v>
      </c>
    </row>
    <row r="14" spans="1:14" x14ac:dyDescent="0.25">
      <c r="A14" s="45" t="s">
        <v>120</v>
      </c>
      <c r="B14" s="45" t="s">
        <v>128</v>
      </c>
      <c r="C14" s="28">
        <f>AVERAGE(20,51,5,1.2)</f>
        <v>19.3</v>
      </c>
      <c r="D14" s="56" t="s">
        <v>405</v>
      </c>
      <c r="E14" s="28" t="s">
        <v>255</v>
      </c>
      <c r="F14" s="28" t="s">
        <v>127</v>
      </c>
      <c r="G14" s="28">
        <v>20</v>
      </c>
      <c r="H14" s="37"/>
      <c r="I14" s="37"/>
      <c r="J14" s="10" t="e">
        <f t="shared" si="0"/>
        <v>#DIV/0!</v>
      </c>
      <c r="K14" s="33">
        <f t="shared" si="1"/>
        <v>0</v>
      </c>
      <c r="L14" s="19">
        <f>K14/'Agency Customization - BCR'!B$5</f>
        <v>0</v>
      </c>
      <c r="M14" s="19">
        <f>L14*'Agency Customization - BCR'!B$3</f>
        <v>0</v>
      </c>
      <c r="N14" s="19">
        <f>L14*'Agency Customization - BCR'!B$4</f>
        <v>0</v>
      </c>
    </row>
    <row r="15" spans="1:14" x14ac:dyDescent="0.25">
      <c r="A15" s="45" t="s">
        <v>120</v>
      </c>
      <c r="B15" s="45" t="s">
        <v>130</v>
      </c>
      <c r="C15" s="28">
        <v>15</v>
      </c>
      <c r="D15" s="28" t="s">
        <v>282</v>
      </c>
      <c r="E15" s="28" t="s">
        <v>283</v>
      </c>
      <c r="F15" s="28" t="s">
        <v>106</v>
      </c>
      <c r="G15" s="28">
        <v>15</v>
      </c>
      <c r="H15" s="37"/>
      <c r="I15" s="37"/>
      <c r="J15" s="10" t="e">
        <f t="shared" si="0"/>
        <v>#DIV/0!</v>
      </c>
      <c r="K15" s="33">
        <f t="shared" si="1"/>
        <v>0</v>
      </c>
      <c r="L15" s="19">
        <f>K15/'Agency Customization - BCR'!B$5</f>
        <v>0</v>
      </c>
      <c r="M15" s="19">
        <f>L15*'Agency Customization - BCR'!B$3</f>
        <v>0</v>
      </c>
      <c r="N15" s="19">
        <f>L15*'Agency Customization - BCR'!B$4</f>
        <v>0</v>
      </c>
    </row>
    <row r="16" spans="1:14" x14ac:dyDescent="0.25">
      <c r="A16" s="45" t="s">
        <v>120</v>
      </c>
      <c r="B16" s="45" t="s">
        <v>121</v>
      </c>
      <c r="C16" s="28">
        <f>'Agency Customization - BCR'!B7*'BCR Template'!C$14/'Agency Customization - BCR'!B6</f>
        <v>193</v>
      </c>
      <c r="D16" s="28" t="s">
        <v>157</v>
      </c>
      <c r="E16" s="28" t="s">
        <v>158</v>
      </c>
      <c r="F16" s="28" t="s">
        <v>124</v>
      </c>
      <c r="G16" s="28">
        <v>10</v>
      </c>
      <c r="H16" s="37"/>
      <c r="I16" s="37"/>
      <c r="J16" s="10" t="e">
        <f t="shared" si="0"/>
        <v>#DIV/0!</v>
      </c>
      <c r="K16" s="33">
        <f t="shared" si="1"/>
        <v>0</v>
      </c>
      <c r="L16" s="19">
        <f>K16/'Agency Customization - BCR'!B$5</f>
        <v>0</v>
      </c>
      <c r="M16" s="19">
        <f>L16*'Agency Customization - BCR'!B$3</f>
        <v>0</v>
      </c>
      <c r="N16" s="19">
        <f>L16*'Agency Customization - BCR'!B$4</f>
        <v>0</v>
      </c>
    </row>
    <row r="17" spans="1:14" x14ac:dyDescent="0.25">
      <c r="A17" s="45" t="s">
        <v>68</v>
      </c>
      <c r="B17" s="45" t="s">
        <v>69</v>
      </c>
      <c r="C17" s="28">
        <v>12.7</v>
      </c>
      <c r="D17" s="28" t="s">
        <v>159</v>
      </c>
      <c r="E17" s="28" t="s">
        <v>160</v>
      </c>
      <c r="F17" s="28" t="s">
        <v>72</v>
      </c>
      <c r="G17" s="28">
        <v>15</v>
      </c>
      <c r="H17" s="37"/>
      <c r="I17" s="37"/>
      <c r="J17" s="10" t="e">
        <f t="shared" si="0"/>
        <v>#DIV/0!</v>
      </c>
      <c r="K17" s="33">
        <f t="shared" si="1"/>
        <v>0</v>
      </c>
      <c r="L17" s="19">
        <f>K17/'Agency Customization - BCR'!B$5</f>
        <v>0</v>
      </c>
      <c r="M17" s="19">
        <f>L17*'Agency Customization - BCR'!B$3</f>
        <v>0</v>
      </c>
      <c r="N17" s="19">
        <f>L17*'Agency Customization - BCR'!B$4</f>
        <v>0</v>
      </c>
    </row>
    <row r="18" spans="1:14" x14ac:dyDescent="0.25">
      <c r="A18" s="45" t="s">
        <v>98</v>
      </c>
      <c r="B18" s="45" t="s">
        <v>104</v>
      </c>
      <c r="C18" s="28">
        <f>AVERAGE(6,20.8,3.7,18.9)</f>
        <v>12.35</v>
      </c>
      <c r="D18" s="56" t="s">
        <v>404</v>
      </c>
      <c r="E18" s="28" t="s">
        <v>161</v>
      </c>
      <c r="F18" s="28" t="s">
        <v>106</v>
      </c>
      <c r="G18" s="28">
        <v>20</v>
      </c>
      <c r="H18" s="37"/>
      <c r="I18" s="37"/>
      <c r="J18" s="10" t="e">
        <f t="shared" si="0"/>
        <v>#DIV/0!</v>
      </c>
      <c r="K18" s="33">
        <f t="shared" si="1"/>
        <v>0</v>
      </c>
      <c r="L18" s="19">
        <f>K18/'Agency Customization - BCR'!B$5</f>
        <v>0</v>
      </c>
      <c r="M18" s="19">
        <f>L18*'Agency Customization - BCR'!B$3</f>
        <v>0</v>
      </c>
      <c r="N18" s="19">
        <f>L18*'Agency Customization - BCR'!B$4</f>
        <v>0</v>
      </c>
    </row>
    <row r="19" spans="1:14" x14ac:dyDescent="0.25">
      <c r="A19" s="45" t="s">
        <v>98</v>
      </c>
      <c r="B19" s="45" t="s">
        <v>114</v>
      </c>
      <c r="C19" s="28">
        <v>12</v>
      </c>
      <c r="D19" s="28" t="s">
        <v>254</v>
      </c>
      <c r="E19" s="28" t="s">
        <v>162</v>
      </c>
      <c r="F19" s="28" t="s">
        <v>106</v>
      </c>
      <c r="G19" s="28">
        <v>15</v>
      </c>
      <c r="H19" s="37"/>
      <c r="I19" s="37"/>
      <c r="J19" s="10" t="e">
        <f t="shared" si="0"/>
        <v>#DIV/0!</v>
      </c>
      <c r="K19" s="33">
        <f t="shared" si="1"/>
        <v>0</v>
      </c>
      <c r="L19" s="19">
        <f>K19/'Agency Customization - BCR'!B$5</f>
        <v>0</v>
      </c>
      <c r="M19" s="19">
        <f>L19*'Agency Customization - BCR'!B$3</f>
        <v>0</v>
      </c>
      <c r="N19" s="19">
        <f>L19*'Agency Customization - BCR'!B$4</f>
        <v>0</v>
      </c>
    </row>
    <row r="20" spans="1:14" x14ac:dyDescent="0.25">
      <c r="A20" s="45" t="s">
        <v>42</v>
      </c>
      <c r="B20" s="45" t="s">
        <v>43</v>
      </c>
      <c r="C20" s="28">
        <v>10.4</v>
      </c>
      <c r="D20" s="28" t="s">
        <v>163</v>
      </c>
      <c r="E20" s="28" t="s">
        <v>164</v>
      </c>
      <c r="F20" s="28" t="s">
        <v>46</v>
      </c>
      <c r="G20" s="28">
        <v>20</v>
      </c>
      <c r="H20" s="37"/>
      <c r="I20" s="37"/>
      <c r="J20" s="10" t="e">
        <f t="shared" si="0"/>
        <v>#DIV/0!</v>
      </c>
      <c r="K20" s="33">
        <f t="shared" si="1"/>
        <v>0</v>
      </c>
      <c r="L20" s="19">
        <f>K20/'Agency Customization - BCR'!B$5</f>
        <v>0</v>
      </c>
      <c r="M20" s="19">
        <f>L20*'Agency Customization - BCR'!B$3</f>
        <v>0</v>
      </c>
      <c r="N20" s="19">
        <f>L20*'Agency Customization - BCR'!B$4</f>
        <v>0</v>
      </c>
    </row>
    <row r="21" spans="1:14" x14ac:dyDescent="0.25">
      <c r="A21" s="45" t="s">
        <v>98</v>
      </c>
      <c r="B21" s="45" t="s">
        <v>99</v>
      </c>
      <c r="C21" s="28">
        <v>10</v>
      </c>
      <c r="D21" s="28" t="s">
        <v>165</v>
      </c>
      <c r="E21" s="28" t="s">
        <v>166</v>
      </c>
      <c r="F21" s="28" t="s">
        <v>55</v>
      </c>
      <c r="G21" s="28">
        <v>10</v>
      </c>
      <c r="H21" s="37"/>
      <c r="I21" s="37"/>
      <c r="J21" s="10" t="e">
        <f t="shared" si="0"/>
        <v>#DIV/0!</v>
      </c>
      <c r="K21" s="33">
        <f t="shared" si="1"/>
        <v>0</v>
      </c>
      <c r="L21" s="19">
        <f>K21/'Agency Customization - BCR'!B$5</f>
        <v>0</v>
      </c>
      <c r="M21" s="19">
        <f>L21*'Agency Customization - BCR'!B$3</f>
        <v>0</v>
      </c>
      <c r="N21" s="19">
        <f>L21*'Agency Customization - BCR'!B$4</f>
        <v>0</v>
      </c>
    </row>
    <row r="22" spans="1:14" x14ac:dyDescent="0.25">
      <c r="A22" s="45" t="s">
        <v>29</v>
      </c>
      <c r="B22" s="45" t="s">
        <v>39</v>
      </c>
      <c r="C22" s="28">
        <v>9</v>
      </c>
      <c r="D22" s="28" t="s">
        <v>167</v>
      </c>
      <c r="E22" s="28" t="s">
        <v>168</v>
      </c>
      <c r="F22" s="28" t="s">
        <v>34</v>
      </c>
      <c r="G22" s="28">
        <v>10</v>
      </c>
      <c r="H22" s="37"/>
      <c r="I22" s="37"/>
      <c r="J22" s="10" t="e">
        <f t="shared" si="0"/>
        <v>#DIV/0!</v>
      </c>
      <c r="K22" s="33">
        <f t="shared" si="1"/>
        <v>0</v>
      </c>
      <c r="L22" s="19">
        <f>K22/'Agency Customization - BCR'!B$5</f>
        <v>0</v>
      </c>
      <c r="M22" s="19">
        <f>L22*'Agency Customization - BCR'!B$3</f>
        <v>0</v>
      </c>
      <c r="N22" s="19">
        <f>L22*'Agency Customization - BCR'!B$4</f>
        <v>0</v>
      </c>
    </row>
    <row r="23" spans="1:14" x14ac:dyDescent="0.25">
      <c r="A23" s="45" t="s">
        <v>29</v>
      </c>
      <c r="B23" s="45" t="s">
        <v>30</v>
      </c>
      <c r="C23" s="28">
        <v>7.5</v>
      </c>
      <c r="D23" s="56" t="s">
        <v>169</v>
      </c>
      <c r="E23" s="28" t="s">
        <v>170</v>
      </c>
      <c r="F23" s="28" t="s">
        <v>34</v>
      </c>
      <c r="G23" s="28">
        <v>15</v>
      </c>
      <c r="H23" s="37"/>
      <c r="I23" s="37"/>
      <c r="J23" s="10" t="e">
        <f t="shared" si="0"/>
        <v>#DIV/0!</v>
      </c>
      <c r="K23" s="33">
        <f t="shared" si="1"/>
        <v>0</v>
      </c>
      <c r="L23" s="19">
        <f>K23/'Agency Customization - BCR'!B$5</f>
        <v>0</v>
      </c>
      <c r="M23" s="19">
        <f>L23*'Agency Customization - BCR'!B$3</f>
        <v>0</v>
      </c>
      <c r="N23" s="19">
        <f>L23*'Agency Customization - BCR'!B$4</f>
        <v>0</v>
      </c>
    </row>
    <row r="24" spans="1:14" x14ac:dyDescent="0.25">
      <c r="A24" s="45" t="s">
        <v>98</v>
      </c>
      <c r="B24" s="45" t="s">
        <v>112</v>
      </c>
      <c r="C24" s="28">
        <v>5.9</v>
      </c>
      <c r="D24" s="56" t="s">
        <v>171</v>
      </c>
      <c r="E24" s="28" t="s">
        <v>172</v>
      </c>
      <c r="F24" s="28" t="s">
        <v>106</v>
      </c>
      <c r="G24" s="28">
        <v>20</v>
      </c>
      <c r="H24" s="37"/>
      <c r="I24" s="37"/>
      <c r="J24" s="10" t="e">
        <f t="shared" si="0"/>
        <v>#DIV/0!</v>
      </c>
      <c r="K24" s="33">
        <f t="shared" si="1"/>
        <v>0</v>
      </c>
      <c r="L24" s="19">
        <f>K24/'Agency Customization - BCR'!B$5</f>
        <v>0</v>
      </c>
      <c r="M24" s="19">
        <f>L24*'Agency Customization - BCR'!B$3</f>
        <v>0</v>
      </c>
      <c r="N24" s="19">
        <f>L24*'Agency Customization - BCR'!B$4</f>
        <v>0</v>
      </c>
    </row>
    <row r="25" spans="1:14" x14ac:dyDescent="0.25">
      <c r="A25" s="45" t="s">
        <v>120</v>
      </c>
      <c r="B25" s="45" t="s">
        <v>125</v>
      </c>
      <c r="C25" s="28">
        <v>5.5</v>
      </c>
      <c r="D25" s="56" t="s">
        <v>406</v>
      </c>
      <c r="E25" s="28" t="s">
        <v>281</v>
      </c>
      <c r="F25" s="28" t="s">
        <v>127</v>
      </c>
      <c r="G25" s="28">
        <v>10</v>
      </c>
      <c r="H25" s="37"/>
      <c r="I25" s="37"/>
      <c r="J25" s="10" t="e">
        <f t="shared" si="0"/>
        <v>#DIV/0!</v>
      </c>
      <c r="K25" s="33">
        <f t="shared" si="1"/>
        <v>0</v>
      </c>
      <c r="L25" s="19">
        <f>K25/'Agency Customization - BCR'!B$5</f>
        <v>0</v>
      </c>
      <c r="M25" s="19">
        <f>L25*'Agency Customization - BCR'!B$3</f>
        <v>0</v>
      </c>
      <c r="N25" s="19">
        <f>L25*'Agency Customization - BCR'!B$4</f>
        <v>0</v>
      </c>
    </row>
    <row r="26" spans="1:14" x14ac:dyDescent="0.25">
      <c r="A26" s="45" t="s">
        <v>68</v>
      </c>
      <c r="B26" s="45" t="s">
        <v>83</v>
      </c>
      <c r="C26" s="28">
        <f>AVERAGE(18.7,15.8,13.3,11.2,9.4,8,7.7,,5.6,4.7,4,11,9.3,7.8,6.5,5.5,4.6,3.9,3.2,2.7,2.3,5,4.1,3.5,2.9,2.4,2,1.7,1.4,1.1,1,0.7,0.6,0.4,0.3,0.3,0.2,0.1,0.1)</f>
        <v>4.6923076923076916</v>
      </c>
      <c r="D26" s="28" t="s">
        <v>173</v>
      </c>
      <c r="E26" s="28" t="s">
        <v>174</v>
      </c>
      <c r="F26" s="28" t="s">
        <v>34</v>
      </c>
      <c r="G26" s="28">
        <v>25</v>
      </c>
      <c r="H26" s="37"/>
      <c r="I26" s="37"/>
      <c r="J26" s="10" t="e">
        <f t="shared" si="0"/>
        <v>#DIV/0!</v>
      </c>
      <c r="K26" s="33">
        <f t="shared" si="1"/>
        <v>0</v>
      </c>
      <c r="L26" s="19">
        <f>K26/'Agency Customization - BCR'!B$5</f>
        <v>0</v>
      </c>
      <c r="M26" s="19">
        <f>L26*'Agency Customization - BCR'!B$3</f>
        <v>0</v>
      </c>
      <c r="N26" s="19">
        <f>L26*'Agency Customization - BCR'!B$4</f>
        <v>0</v>
      </c>
    </row>
    <row r="27" spans="1:14" x14ac:dyDescent="0.25">
      <c r="A27" s="45" t="s">
        <v>68</v>
      </c>
      <c r="B27" s="45" t="s">
        <v>279</v>
      </c>
      <c r="C27" s="28">
        <f>AVERAGE(16.3,14.2,12.4,10.7,9.3,8,6.8,5.9,5,9.9,8.6,7.4,6.4,5.5,4.7,4,3.4,2.9,4.6,3.9,3.4,2.9,2.4,2.1,1.7,1.5,1.2,0.8,0.7,0.5,0.4,0.3,0.2,0.1,0.1,0.1)</f>
        <v>4.6749999999999998</v>
      </c>
      <c r="D27" s="28" t="s">
        <v>173</v>
      </c>
      <c r="E27" s="28" t="s">
        <v>174</v>
      </c>
      <c r="F27" s="28" t="s">
        <v>34</v>
      </c>
      <c r="G27" s="28">
        <v>25</v>
      </c>
      <c r="H27" s="37"/>
      <c r="I27" s="37"/>
      <c r="J27" s="10" t="e">
        <f t="shared" si="0"/>
        <v>#DIV/0!</v>
      </c>
      <c r="K27" s="33">
        <f t="shared" si="1"/>
        <v>0</v>
      </c>
      <c r="L27" s="19">
        <f>K27/'Agency Customization - BCR'!B$5</f>
        <v>0</v>
      </c>
      <c r="M27" s="19">
        <f>L27*'Agency Customization - BCR'!B$3</f>
        <v>0</v>
      </c>
      <c r="N27" s="19">
        <f>L27*'Agency Customization - BCR'!B$4</f>
        <v>0</v>
      </c>
    </row>
    <row r="28" spans="1:14" x14ac:dyDescent="0.25">
      <c r="A28" s="45" t="s">
        <v>29</v>
      </c>
      <c r="B28" s="45" t="s">
        <v>35</v>
      </c>
      <c r="C28" s="28">
        <v>4</v>
      </c>
      <c r="D28" s="28" t="s">
        <v>175</v>
      </c>
      <c r="E28" s="28" t="s">
        <v>176</v>
      </c>
      <c r="F28" s="28" t="s">
        <v>38</v>
      </c>
      <c r="G28" s="28">
        <v>10</v>
      </c>
      <c r="H28" s="37"/>
      <c r="I28" s="37"/>
      <c r="J28" s="10" t="e">
        <f t="shared" si="0"/>
        <v>#DIV/0!</v>
      </c>
      <c r="K28" s="33">
        <f t="shared" si="1"/>
        <v>0</v>
      </c>
      <c r="L28" s="19">
        <f>K28/'Agency Customization - BCR'!B$5</f>
        <v>0</v>
      </c>
      <c r="M28" s="19">
        <f>L28*'Agency Customization - BCR'!B$3</f>
        <v>0</v>
      </c>
      <c r="N28" s="19">
        <f>L28*'Agency Customization - BCR'!B$4</f>
        <v>0</v>
      </c>
    </row>
    <row r="29" spans="1:14" x14ac:dyDescent="0.25">
      <c r="A29" s="45" t="s">
        <v>120</v>
      </c>
      <c r="B29" s="45" t="s">
        <v>134</v>
      </c>
      <c r="C29" s="28">
        <v>3.7</v>
      </c>
      <c r="D29" s="56" t="s">
        <v>407</v>
      </c>
      <c r="E29" s="28" t="s">
        <v>177</v>
      </c>
      <c r="F29" s="28" t="s">
        <v>34</v>
      </c>
      <c r="G29" s="28">
        <v>15</v>
      </c>
      <c r="H29" s="37"/>
      <c r="I29" s="37"/>
      <c r="J29" s="10" t="e">
        <f t="shared" si="0"/>
        <v>#DIV/0!</v>
      </c>
      <c r="K29" s="33">
        <f t="shared" si="1"/>
        <v>0</v>
      </c>
      <c r="L29" s="19">
        <f>K29/'Agency Customization - BCR'!B$5</f>
        <v>0</v>
      </c>
      <c r="M29" s="19">
        <f>L29*'Agency Customization - BCR'!B$3</f>
        <v>0</v>
      </c>
      <c r="N29" s="19">
        <f>L29*'Agency Customization - BCR'!B$4</f>
        <v>0</v>
      </c>
    </row>
    <row r="30" spans="1:14" x14ac:dyDescent="0.25">
      <c r="A30" s="45" t="s">
        <v>98</v>
      </c>
      <c r="B30" s="45" t="s">
        <v>101</v>
      </c>
      <c r="C30" s="28">
        <f>AVERAGE(0.38075,0.656,1.10825,2.115,1.155,1.305,5.73,5.08,3.06,6.44,7.01)</f>
        <v>3.0945454545454543</v>
      </c>
      <c r="D30" s="28" t="s">
        <v>178</v>
      </c>
      <c r="E30" s="28" t="s">
        <v>179</v>
      </c>
      <c r="F30" s="28" t="s">
        <v>34</v>
      </c>
      <c r="G30" s="28">
        <v>20</v>
      </c>
      <c r="H30" s="37"/>
      <c r="I30" s="37"/>
      <c r="J30" s="10" t="e">
        <f t="shared" si="0"/>
        <v>#DIV/0!</v>
      </c>
      <c r="K30" s="33">
        <f t="shared" si="1"/>
        <v>0</v>
      </c>
      <c r="L30" s="19">
        <f>K30/'Agency Customization - BCR'!B$5</f>
        <v>0</v>
      </c>
      <c r="M30" s="19">
        <f>L30*'Agency Customization - BCR'!B$3</f>
        <v>0</v>
      </c>
      <c r="N30" s="19">
        <f>L30*'Agency Customization - BCR'!B$4</f>
        <v>0</v>
      </c>
    </row>
    <row r="31" spans="1:14" x14ac:dyDescent="0.25">
      <c r="A31" s="45" t="s">
        <v>98</v>
      </c>
      <c r="B31" s="45" t="s">
        <v>280</v>
      </c>
      <c r="C31" s="28">
        <v>2.6</v>
      </c>
      <c r="D31" s="28" t="s">
        <v>180</v>
      </c>
      <c r="E31" s="28" t="s">
        <v>181</v>
      </c>
      <c r="F31" s="28" t="s">
        <v>106</v>
      </c>
      <c r="G31" s="28">
        <v>20</v>
      </c>
      <c r="H31" s="37"/>
      <c r="I31" s="37"/>
      <c r="J31" s="10" t="e">
        <f t="shared" si="0"/>
        <v>#DIV/0!</v>
      </c>
      <c r="K31" s="33">
        <f t="shared" si="1"/>
        <v>0</v>
      </c>
      <c r="L31" s="19">
        <f>K31/'Agency Customization - BCR'!B$5</f>
        <v>0</v>
      </c>
      <c r="M31" s="19">
        <f>L31*'Agency Customization - BCR'!B$3</f>
        <v>0</v>
      </c>
      <c r="N31" s="19">
        <f>L31*'Agency Customization - BCR'!B$4</f>
        <v>0</v>
      </c>
    </row>
    <row r="32" spans="1:14" x14ac:dyDescent="0.25">
      <c r="A32" s="45" t="s">
        <v>68</v>
      </c>
      <c r="B32" s="45" t="s">
        <v>92</v>
      </c>
      <c r="C32" s="28">
        <v>2.5</v>
      </c>
      <c r="D32" s="56" t="s">
        <v>404</v>
      </c>
      <c r="E32" s="28" t="s">
        <v>182</v>
      </c>
      <c r="F32" s="28" t="s">
        <v>72</v>
      </c>
      <c r="G32" s="28">
        <v>20</v>
      </c>
      <c r="H32" s="37"/>
      <c r="I32" s="37"/>
      <c r="J32" s="10" t="e">
        <f t="shared" si="0"/>
        <v>#DIV/0!</v>
      </c>
      <c r="K32" s="33">
        <f t="shared" si="1"/>
        <v>0</v>
      </c>
      <c r="L32" s="19">
        <f>K32/'Agency Customization - BCR'!B$5</f>
        <v>0</v>
      </c>
      <c r="M32" s="19">
        <f>L32*'Agency Customization - BCR'!B$3</f>
        <v>0</v>
      </c>
      <c r="N32" s="19">
        <f>L32*'Agency Customization - BCR'!B$4</f>
        <v>0</v>
      </c>
    </row>
    <row r="33" spans="1:14" x14ac:dyDescent="0.25">
      <c r="A33" s="45" t="s">
        <v>42</v>
      </c>
      <c r="B33" s="45" t="s">
        <v>59</v>
      </c>
      <c r="C33" s="28">
        <v>2.1</v>
      </c>
      <c r="D33" s="28" t="s">
        <v>163</v>
      </c>
      <c r="E33" s="28" t="s">
        <v>183</v>
      </c>
      <c r="F33" s="28" t="s">
        <v>51</v>
      </c>
      <c r="G33" s="28">
        <v>10</v>
      </c>
      <c r="H33" s="37"/>
      <c r="I33" s="37"/>
      <c r="J33" s="10" t="e">
        <f t="shared" si="0"/>
        <v>#DIV/0!</v>
      </c>
      <c r="K33" s="33">
        <f t="shared" si="1"/>
        <v>0</v>
      </c>
      <c r="L33" s="19">
        <f>K33/'Agency Customization - BCR'!B$5</f>
        <v>0</v>
      </c>
      <c r="M33" s="19">
        <f>L33*'Agency Customization - BCR'!B$3</f>
        <v>0</v>
      </c>
      <c r="N33" s="19">
        <f>L33*'Agency Customization - BCR'!B$4</f>
        <v>0</v>
      </c>
    </row>
    <row r="34" spans="1:14" x14ac:dyDescent="0.25">
      <c r="A34" s="45" t="s">
        <v>42</v>
      </c>
      <c r="B34" s="45" t="s">
        <v>66</v>
      </c>
      <c r="C34" s="28">
        <f>AVERAGE(1.44,2.37)</f>
        <v>1.905</v>
      </c>
      <c r="D34" s="28" t="s">
        <v>150</v>
      </c>
      <c r="E34" s="28" t="s">
        <v>184</v>
      </c>
      <c r="F34" s="28" t="s">
        <v>34</v>
      </c>
      <c r="G34" s="28">
        <v>20</v>
      </c>
      <c r="H34" s="37"/>
      <c r="I34" s="37"/>
      <c r="J34" s="10" t="e">
        <f t="shared" si="0"/>
        <v>#DIV/0!</v>
      </c>
      <c r="K34" s="33">
        <f t="shared" si="1"/>
        <v>0</v>
      </c>
      <c r="L34" s="19">
        <f>K34/'Agency Customization - BCR'!B$5</f>
        <v>0</v>
      </c>
      <c r="M34" s="19">
        <f>L34*'Agency Customization - BCR'!B$3</f>
        <v>0</v>
      </c>
      <c r="N34" s="19">
        <f>L34*'Agency Customization - BCR'!B$4</f>
        <v>0</v>
      </c>
    </row>
    <row r="35" spans="1:14" x14ac:dyDescent="0.25">
      <c r="A35" s="45" t="s">
        <v>98</v>
      </c>
      <c r="B35" s="45" t="s">
        <v>117</v>
      </c>
      <c r="C35" s="28">
        <v>1.4</v>
      </c>
      <c r="D35" s="28" t="s">
        <v>185</v>
      </c>
      <c r="E35" s="28" t="s">
        <v>186</v>
      </c>
      <c r="F35" s="28" t="s">
        <v>106</v>
      </c>
      <c r="G35" s="28">
        <v>10</v>
      </c>
      <c r="H35" s="37"/>
      <c r="I35" s="37"/>
      <c r="J35" s="10" t="e">
        <f t="shared" si="0"/>
        <v>#DIV/0!</v>
      </c>
      <c r="K35" s="33">
        <f t="shared" si="1"/>
        <v>0</v>
      </c>
      <c r="L35" s="19">
        <f>K35/'Agency Customization - BCR'!B$5</f>
        <v>0</v>
      </c>
      <c r="M35" s="19">
        <f>L35*'Agency Customization - BCR'!B$3</f>
        <v>0</v>
      </c>
      <c r="N35" s="19">
        <f>L35*'Agency Customization - BCR'!B$4</f>
        <v>0</v>
      </c>
    </row>
    <row r="36" spans="1:14" x14ac:dyDescent="0.25">
      <c r="A36" s="45" t="s">
        <v>68</v>
      </c>
      <c r="B36" s="45" t="s">
        <v>95</v>
      </c>
      <c r="C36" s="28">
        <f>AVERAGE(1.28,1.48)</f>
        <v>1.38</v>
      </c>
      <c r="D36" s="28" t="s">
        <v>187</v>
      </c>
      <c r="E36" s="28" t="s">
        <v>188</v>
      </c>
      <c r="F36" s="28" t="s">
        <v>72</v>
      </c>
      <c r="G36" s="28">
        <v>25</v>
      </c>
      <c r="H36" s="37"/>
      <c r="I36" s="37"/>
      <c r="J36" s="10" t="e">
        <f t="shared" si="0"/>
        <v>#DIV/0!</v>
      </c>
      <c r="K36" s="33">
        <f t="shared" si="1"/>
        <v>0</v>
      </c>
      <c r="L36" s="19">
        <f>K36/'Agency Customization - BCR'!B$5</f>
        <v>0</v>
      </c>
      <c r="M36" s="19">
        <f>L36*'Agency Customization - BCR'!B$3</f>
        <v>0</v>
      </c>
      <c r="N36" s="19">
        <f>L36*'Agency Customization - BCR'!B$4</f>
        <v>0</v>
      </c>
    </row>
    <row r="37" spans="1:14" x14ac:dyDescent="0.25">
      <c r="A37" s="45" t="s">
        <v>68</v>
      </c>
      <c r="B37" s="45" t="s">
        <v>88</v>
      </c>
      <c r="C37" s="28">
        <f>AVERAGE(0.21,0.13)</f>
        <v>0.16999999999999998</v>
      </c>
      <c r="D37" s="28" t="s">
        <v>187</v>
      </c>
      <c r="E37" s="28" t="s">
        <v>189</v>
      </c>
      <c r="F37" s="28" t="s">
        <v>72</v>
      </c>
      <c r="G37" s="28">
        <v>20</v>
      </c>
      <c r="H37" s="37"/>
      <c r="I37" s="37"/>
      <c r="J37" s="10" t="e">
        <f t="shared" si="0"/>
        <v>#DIV/0!</v>
      </c>
      <c r="K37" s="33">
        <f t="shared" si="1"/>
        <v>0</v>
      </c>
      <c r="L37" s="19">
        <f>K37/'Agency Customization - BCR'!B$5</f>
        <v>0</v>
      </c>
      <c r="M37" s="19">
        <f>L37*'Agency Customization - BCR'!B$3</f>
        <v>0</v>
      </c>
      <c r="N37" s="19">
        <f>L37*'Agency Customization - BCR'!B$4</f>
        <v>0</v>
      </c>
    </row>
    <row r="38" spans="1:14" x14ac:dyDescent="0.25">
      <c r="B38" s="1"/>
      <c r="C38" s="1"/>
      <c r="D38" s="1"/>
      <c r="E38" s="1"/>
      <c r="F38" s="1"/>
      <c r="G38" s="1"/>
      <c r="H38" s="21"/>
      <c r="I38" s="18"/>
      <c r="K38" s="18"/>
      <c r="L38" s="12"/>
      <c r="M38" s="12"/>
      <c r="N38" s="12"/>
    </row>
  </sheetData>
  <sortState xmlns:xlrd2="http://schemas.microsoft.com/office/spreadsheetml/2017/richdata2" ref="A3:N37">
    <sortCondition descending="1" ref="C3:C37"/>
  </sortState>
  <hyperlinks>
    <hyperlink ref="D4" r:id="rId1" xr:uid="{2B5A83EC-65B6-4E39-9389-1F86E07401E8}"/>
    <hyperlink ref="D10" r:id="rId2" xr:uid="{6AA8C0F3-6457-4C7F-913A-333BF0858A04}"/>
    <hyperlink ref="D5" r:id="rId3" xr:uid="{C8CF2791-1F6A-4944-AB23-0BF5D63D5DF6}"/>
    <hyperlink ref="D23" r:id="rId4" xr:uid="{4864DB1C-8392-492A-AFF6-36230C4BEED5}"/>
    <hyperlink ref="D13" r:id="rId5" xr:uid="{11C0BB70-D7A7-4589-8A1F-4A521B6CF383}"/>
    <hyperlink ref="D11" r:id="rId6" xr:uid="{2973AF88-38F7-41CF-B2C3-3EE6C75C10ED}"/>
    <hyperlink ref="D3" r:id="rId7" xr:uid="{5858B560-6214-4C42-82C4-7C0F28FF3839}"/>
    <hyperlink ref="D9" r:id="rId8" xr:uid="{B9122E2C-0F04-45CF-99DE-A0D3ECAA4DB0}"/>
    <hyperlink ref="D12" r:id="rId9" xr:uid="{567CDF2C-2B82-42D6-BE9D-6A9BA9525FB4}"/>
    <hyperlink ref="D18" r:id="rId10" xr:uid="{749FA866-FE91-431E-B931-491CFB7290A0}"/>
    <hyperlink ref="D24" r:id="rId11" xr:uid="{9370C7B4-837A-4B26-980A-3CC5AC419C53}"/>
    <hyperlink ref="D25" r:id="rId12" xr:uid="{33D791A2-E3D4-4E88-95FD-FCC22ED1ED1E}"/>
    <hyperlink ref="D32" r:id="rId13" xr:uid="{C3258230-62D6-4337-A56D-550E0BD55133}"/>
  </hyperlinks>
  <pageMargins left="0.7" right="0.7" top="0.75" bottom="0.75" header="0.3" footer="0.3"/>
  <pageSetup orientation="portrait" r:id="rId14"/>
  <tableParts count="1">
    <tablePart r:id="rId15"/>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887F3-F30B-4648-A1EA-EED5A5D4740E}">
  <dimension ref="A1:B7"/>
  <sheetViews>
    <sheetView workbookViewId="0">
      <selection activeCell="A2" sqref="A2:B7"/>
    </sheetView>
  </sheetViews>
  <sheetFormatPr defaultRowHeight="15" x14ac:dyDescent="0.25"/>
  <cols>
    <col min="1" max="1" width="37.140625" bestFit="1" customWidth="1"/>
    <col min="2" max="2" width="15.5703125" bestFit="1" customWidth="1"/>
  </cols>
  <sheetData>
    <row r="1" spans="1:2" ht="23.25" x14ac:dyDescent="0.35">
      <c r="A1" s="25" t="s">
        <v>261</v>
      </c>
    </row>
    <row r="2" spans="1:2" ht="18" thickBot="1" x14ac:dyDescent="0.35">
      <c r="A2" s="26" t="s">
        <v>256</v>
      </c>
      <c r="B2" s="26" t="s">
        <v>257</v>
      </c>
    </row>
    <row r="3" spans="1:2" ht="15.75" thickTop="1" x14ac:dyDescent="0.25">
      <c r="A3" s="23" t="s">
        <v>266</v>
      </c>
      <c r="B3" s="29">
        <f>SUM('BCR Template'!I:I)</f>
        <v>5400000</v>
      </c>
    </row>
    <row r="4" spans="1:2" x14ac:dyDescent="0.25">
      <c r="A4" s="23" t="s">
        <v>267</v>
      </c>
      <c r="B4" s="29">
        <f>SUM('BCR Template'!K:K)</f>
        <v>766000000</v>
      </c>
    </row>
    <row r="5" spans="1:2" x14ac:dyDescent="0.25">
      <c r="A5" s="23" t="s">
        <v>268</v>
      </c>
      <c r="B5" s="30">
        <f>SUM('BCR Template'!M:M)</f>
        <v>30.640000000000004</v>
      </c>
    </row>
    <row r="6" spans="1:2" x14ac:dyDescent="0.25">
      <c r="A6" s="23" t="s">
        <v>269</v>
      </c>
      <c r="B6" s="30">
        <f>SUM('BCR Template'!N:N)</f>
        <v>61.280000000000008</v>
      </c>
    </row>
    <row r="7" spans="1:2" x14ac:dyDescent="0.25">
      <c r="A7" s="23" t="s">
        <v>270</v>
      </c>
      <c r="B7" s="31">
        <f>B4/B3</f>
        <v>141.85185185185185</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89592-8FDC-483E-8964-B095D1898DAA}">
  <dimension ref="A1:C33"/>
  <sheetViews>
    <sheetView zoomScaleNormal="100" workbookViewId="0">
      <selection activeCell="B21" sqref="B21"/>
    </sheetView>
  </sheetViews>
  <sheetFormatPr defaultRowHeight="15" x14ac:dyDescent="0.25"/>
  <cols>
    <col min="1" max="1" width="150.5703125" bestFit="1" customWidth="1"/>
    <col min="2" max="2" width="60" bestFit="1" customWidth="1"/>
    <col min="3" max="3" width="59.85546875" customWidth="1"/>
  </cols>
  <sheetData>
    <row r="1" spans="1:2" ht="23.25" x14ac:dyDescent="0.35">
      <c r="A1" s="25" t="s">
        <v>284</v>
      </c>
    </row>
    <row r="2" spans="1:2" ht="18" thickBot="1" x14ac:dyDescent="0.35">
      <c r="A2" s="26" t="s">
        <v>273</v>
      </c>
      <c r="B2" s="26" t="s">
        <v>286</v>
      </c>
    </row>
    <row r="3" spans="1:2" ht="15.75" thickTop="1" x14ac:dyDescent="0.25">
      <c r="A3" s="23" t="s">
        <v>291</v>
      </c>
      <c r="B3" s="27">
        <v>500</v>
      </c>
    </row>
    <row r="4" spans="1:2" x14ac:dyDescent="0.25">
      <c r="A4" s="23" t="s">
        <v>292</v>
      </c>
      <c r="B4" s="27">
        <v>1200</v>
      </c>
    </row>
    <row r="5" spans="1:2" x14ac:dyDescent="0.25">
      <c r="A5" s="23" t="s">
        <v>293</v>
      </c>
      <c r="B5" s="37">
        <v>11295400</v>
      </c>
    </row>
    <row r="6" spans="1:2" x14ac:dyDescent="0.25">
      <c r="A6" s="23" t="s">
        <v>294</v>
      </c>
      <c r="B6" s="37">
        <v>655000</v>
      </c>
    </row>
    <row r="7" spans="1:2" x14ac:dyDescent="0.25">
      <c r="A7" s="23" t="s">
        <v>316</v>
      </c>
      <c r="B7" s="37">
        <f>(B3*B5+B4*B6)/(B3+B4)</f>
        <v>3784529.411764706</v>
      </c>
    </row>
    <row r="8" spans="1:2" x14ac:dyDescent="0.25">
      <c r="A8" s="23" t="s">
        <v>287</v>
      </c>
      <c r="B8" s="27">
        <v>0.09</v>
      </c>
    </row>
    <row r="9" spans="1:2" x14ac:dyDescent="0.25">
      <c r="A9" s="23" t="s">
        <v>288</v>
      </c>
      <c r="B9" s="27">
        <v>0.91</v>
      </c>
    </row>
    <row r="11" spans="1:2" ht="18" thickBot="1" x14ac:dyDescent="0.35">
      <c r="A11" s="47" t="s">
        <v>275</v>
      </c>
      <c r="B11" s="26" t="s">
        <v>286</v>
      </c>
    </row>
    <row r="12" spans="1:2" ht="15.75" thickTop="1" x14ac:dyDescent="0.25">
      <c r="A12" s="23" t="s">
        <v>295</v>
      </c>
      <c r="B12" s="46">
        <v>0.3</v>
      </c>
    </row>
    <row r="13" spans="1:2" x14ac:dyDescent="0.25">
      <c r="A13" s="23" t="s">
        <v>296</v>
      </c>
      <c r="B13" s="46">
        <v>0.4</v>
      </c>
    </row>
    <row r="14" spans="1:2" x14ac:dyDescent="0.25">
      <c r="A14" s="23" t="s">
        <v>297</v>
      </c>
      <c r="B14" s="46">
        <v>0.44</v>
      </c>
    </row>
    <row r="15" spans="1:2" x14ac:dyDescent="0.25">
      <c r="A15" s="23" t="s">
        <v>298</v>
      </c>
      <c r="B15" s="46">
        <f>1037/8068</f>
        <v>0.12853247397124443</v>
      </c>
    </row>
    <row r="16" spans="1:2" x14ac:dyDescent="0.25">
      <c r="A16" s="48" t="s">
        <v>299</v>
      </c>
      <c r="B16" s="46">
        <f>1037/8068</f>
        <v>0.12853247397124443</v>
      </c>
    </row>
    <row r="17" spans="1:3" x14ac:dyDescent="0.25">
      <c r="A17" s="23" t="s">
        <v>276</v>
      </c>
    </row>
    <row r="18" spans="1:3" x14ac:dyDescent="0.25">
      <c r="A18" s="23" t="s">
        <v>277</v>
      </c>
    </row>
    <row r="20" spans="1:3" ht="18" thickBot="1" x14ac:dyDescent="0.35">
      <c r="A20" s="26" t="s">
        <v>303</v>
      </c>
      <c r="B20" s="26" t="s">
        <v>2</v>
      </c>
      <c r="C20" s="26" t="s">
        <v>300</v>
      </c>
    </row>
    <row r="21" spans="1:3" ht="15.75" thickTop="1" x14ac:dyDescent="0.25">
      <c r="A21" s="23" t="s">
        <v>306</v>
      </c>
      <c r="B21" s="32">
        <v>0.6</v>
      </c>
      <c r="C21" s="45" t="s">
        <v>301</v>
      </c>
    </row>
    <row r="22" spans="1:3" x14ac:dyDescent="0.25">
      <c r="A22" s="23" t="s">
        <v>308</v>
      </c>
      <c r="B22" s="32">
        <v>0.81</v>
      </c>
      <c r="C22" s="45" t="s">
        <v>302</v>
      </c>
    </row>
    <row r="23" spans="1:3" x14ac:dyDescent="0.25">
      <c r="A23" s="23" t="s">
        <v>4</v>
      </c>
      <c r="B23" s="11">
        <f>B21*B12+B22*B13+1*(1-B12-B13)</f>
        <v>0.80399999999999994</v>
      </c>
      <c r="C23" s="45" t="s">
        <v>313</v>
      </c>
    </row>
    <row r="24" spans="1:3" x14ac:dyDescent="0.25">
      <c r="A24" s="23" t="s">
        <v>5</v>
      </c>
      <c r="B24" s="11">
        <f>0.23*B8+0.5*B9</f>
        <v>0.47570000000000001</v>
      </c>
      <c r="C24" s="45" t="s">
        <v>309</v>
      </c>
    </row>
    <row r="25" spans="1:3" x14ac:dyDescent="0.25">
      <c r="A25" s="23" t="s">
        <v>7</v>
      </c>
      <c r="B25" s="11">
        <v>0.88600000000000001</v>
      </c>
      <c r="C25" s="45" t="s">
        <v>8</v>
      </c>
    </row>
    <row r="26" spans="1:3" x14ac:dyDescent="0.25">
      <c r="A26" s="23" t="s">
        <v>9</v>
      </c>
      <c r="B26" s="11">
        <f>AVERAGE(B23:B25)</f>
        <v>0.7219000000000001</v>
      </c>
      <c r="C26" s="45"/>
    </row>
    <row r="27" spans="1:3" x14ac:dyDescent="0.25">
      <c r="A27" s="23" t="s">
        <v>310</v>
      </c>
      <c r="B27" s="32">
        <v>0.26</v>
      </c>
      <c r="C27" s="45" t="s">
        <v>304</v>
      </c>
    </row>
    <row r="28" spans="1:3" x14ac:dyDescent="0.25">
      <c r="A28" s="23" t="s">
        <v>10</v>
      </c>
      <c r="B28" s="11">
        <f>B15*B27+(1-B15)*1</f>
        <v>0.90488596926127907</v>
      </c>
      <c r="C28" s="45" t="s">
        <v>313</v>
      </c>
    </row>
    <row r="29" spans="1:3" x14ac:dyDescent="0.25">
      <c r="A29" s="23" t="s">
        <v>314</v>
      </c>
      <c r="B29" s="32">
        <v>0.3</v>
      </c>
      <c r="C29" s="45" t="s">
        <v>371</v>
      </c>
    </row>
    <row r="30" spans="1:3" x14ac:dyDescent="0.25">
      <c r="A30" s="23" t="s">
        <v>305</v>
      </c>
      <c r="B30" s="11">
        <f>B16*B29+(1-B16)*1</f>
        <v>0.91002726822012892</v>
      </c>
      <c r="C30" s="45" t="s">
        <v>313</v>
      </c>
    </row>
    <row r="31" spans="1:3" x14ac:dyDescent="0.25">
      <c r="A31" s="23" t="s">
        <v>311</v>
      </c>
      <c r="B31" s="32">
        <v>0.56000000000000005</v>
      </c>
      <c r="C31" s="45" t="s">
        <v>11</v>
      </c>
    </row>
    <row r="32" spans="1:3" x14ac:dyDescent="0.25">
      <c r="A32" s="23" t="s">
        <v>312</v>
      </c>
      <c r="B32" s="32">
        <v>0.67</v>
      </c>
      <c r="C32" s="45" t="s">
        <v>12</v>
      </c>
    </row>
    <row r="33" spans="1:3" x14ac:dyDescent="0.25">
      <c r="A33" s="23" t="s">
        <v>13</v>
      </c>
      <c r="B33" s="11">
        <f>B12*B31+B14*B32+(1-B14-B12)*1</f>
        <v>0.72280000000000011</v>
      </c>
      <c r="C33" s="45" t="s">
        <v>313</v>
      </c>
    </row>
  </sheetData>
  <pageMargins left="0.7" right="0.7" top="0.75" bottom="0.75" header="0.3" footer="0.3"/>
  <tableParts count="3">
    <tablePart r:id="rId1"/>
    <tablePart r:id="rId2"/>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44A44-CCDE-4616-96FA-0909B03DD426}">
  <dimension ref="A1:S39"/>
  <sheetViews>
    <sheetView zoomScale="90" zoomScaleNormal="90" workbookViewId="0">
      <pane xSplit="2" ySplit="2" topLeftCell="H3" activePane="bottomRight" state="frozen"/>
      <selection pane="topRight" activeCell="C1" sqref="C1"/>
      <selection pane="bottomLeft" activeCell="A2" sqref="A2"/>
      <selection pane="bottomRight" activeCell="P5" sqref="P5"/>
    </sheetView>
  </sheetViews>
  <sheetFormatPr defaultRowHeight="15" x14ac:dyDescent="0.25"/>
  <cols>
    <col min="1" max="1" width="17.5703125" bestFit="1" customWidth="1"/>
    <col min="2" max="2" width="81.85546875" bestFit="1" customWidth="1"/>
    <col min="3" max="3" width="19" customWidth="1"/>
    <col min="4" max="4" width="25.42578125" customWidth="1"/>
    <col min="5" max="5" width="74.28515625" bestFit="1" customWidth="1"/>
    <col min="6" max="6" width="74" customWidth="1"/>
    <col min="7" max="7" width="65" bestFit="1" customWidth="1"/>
    <col min="8" max="8" width="20.5703125" bestFit="1" customWidth="1"/>
    <col min="9" max="9" width="12.28515625" customWidth="1"/>
    <col min="10" max="10" width="31.42578125" style="4" customWidth="1"/>
    <col min="11" max="11" width="12.140625" bestFit="1" customWidth="1"/>
    <col min="12" max="12" width="17.28515625" style="4" bestFit="1" customWidth="1"/>
    <col min="13" max="13" width="13.85546875" customWidth="1"/>
    <col min="14" max="15" width="33.85546875" customWidth="1"/>
    <col min="16" max="16" width="22.5703125" customWidth="1"/>
    <col min="17" max="18" width="35.140625" customWidth="1"/>
    <col min="19" max="19" width="37.5703125" customWidth="1"/>
  </cols>
  <sheetData>
    <row r="1" spans="1:19" ht="23.25" x14ac:dyDescent="0.35">
      <c r="A1" s="25" t="s">
        <v>259</v>
      </c>
    </row>
    <row r="2" spans="1:19" s="1" customFormat="1" ht="18" thickBot="1" x14ac:dyDescent="0.35">
      <c r="A2" s="26" t="s">
        <v>14</v>
      </c>
      <c r="B2" s="26" t="s">
        <v>15</v>
      </c>
      <c r="C2" s="26" t="s">
        <v>16</v>
      </c>
      <c r="D2" s="26" t="s">
        <v>17</v>
      </c>
      <c r="E2" s="26" t="s">
        <v>317</v>
      </c>
      <c r="F2" s="26" t="s">
        <v>18</v>
      </c>
      <c r="G2" s="26" t="s">
        <v>19</v>
      </c>
      <c r="H2" s="26" t="s">
        <v>20</v>
      </c>
      <c r="I2" s="26" t="s">
        <v>21</v>
      </c>
      <c r="J2" s="26" t="s">
        <v>190</v>
      </c>
      <c r="K2" s="26" t="s">
        <v>25</v>
      </c>
      <c r="L2" s="26" t="s">
        <v>24</v>
      </c>
      <c r="M2" s="26" t="s">
        <v>23</v>
      </c>
      <c r="N2" s="26" t="s">
        <v>26</v>
      </c>
      <c r="O2" s="26" t="s">
        <v>263</v>
      </c>
      <c r="P2" s="26" t="s">
        <v>139</v>
      </c>
      <c r="Q2" s="26" t="s">
        <v>140</v>
      </c>
      <c r="R2" s="26" t="s">
        <v>264</v>
      </c>
      <c r="S2" s="26" t="s">
        <v>265</v>
      </c>
    </row>
    <row r="3" spans="1:19" ht="15.75" thickTop="1" x14ac:dyDescent="0.25">
      <c r="A3" s="45" t="s">
        <v>29</v>
      </c>
      <c r="B3" s="45" t="s">
        <v>30</v>
      </c>
      <c r="C3" s="32">
        <v>0.74</v>
      </c>
      <c r="D3" s="28" t="s">
        <v>31</v>
      </c>
      <c r="E3" s="38" t="s">
        <v>307</v>
      </c>
      <c r="F3" s="28" t="s">
        <v>32</v>
      </c>
      <c r="G3" s="28" t="s">
        <v>315</v>
      </c>
      <c r="H3" s="28" t="s">
        <v>34</v>
      </c>
      <c r="I3" s="28">
        <v>15</v>
      </c>
      <c r="J3" s="39">
        <v>100000</v>
      </c>
      <c r="K3" s="8">
        <f>J3/((1-C3)*100)</f>
        <v>3846.1538461538462</v>
      </c>
      <c r="L3" s="27">
        <v>1000000</v>
      </c>
      <c r="M3" s="19">
        <f>IFERROR(L3/J3,0)</f>
        <v>10</v>
      </c>
      <c r="N3" s="9">
        <v>0.01</v>
      </c>
      <c r="O3" s="19">
        <f>PSCTemplate[[#This Row],[Average KA Crash Frequency per Unit]]*PSCTemplate[[#This Row],[Sites Treated]]*PSCTemplate[[#This Row],[CMF for KA Crashes]]*PSCTemplate[[#This Row],[Service Life]]</f>
        <v>1.1099999999999999</v>
      </c>
      <c r="P3" s="19">
        <f>PSCTemplate[[#This Row],[KA Crashes Prevented]]*'Agency Customization - CM Score'!B$8</f>
        <v>9.9899999999999989E-2</v>
      </c>
      <c r="Q3" s="19">
        <f>PSCTemplate[[#This Row],[KA Crashes Prevented]]*'Agency Customization - CM Score'!B$9</f>
        <v>1.0101</v>
      </c>
      <c r="R3" s="40">
        <f>PSCTemplate[[#This Row],[KA Crashes Prevented]]*'Agency Customization - CM Score'!B$7</f>
        <v>4200827.6470588231</v>
      </c>
      <c r="S3" s="41">
        <f>PSCTemplate[[#This Row],[Estimated Benefits from KA Crash Reduction]]/PSCTemplate[[#This Row],[Investment]]</f>
        <v>4.2008276470588228</v>
      </c>
    </row>
    <row r="4" spans="1:19" x14ac:dyDescent="0.25">
      <c r="A4" s="45" t="s">
        <v>29</v>
      </c>
      <c r="B4" s="45" t="s">
        <v>35</v>
      </c>
      <c r="C4" s="32">
        <f>AVERAGE((1-0.37),(1-0.47),(1-0.2))</f>
        <v>0.65333333333333343</v>
      </c>
      <c r="D4" s="28" t="s">
        <v>31</v>
      </c>
      <c r="E4" s="38" t="s">
        <v>318</v>
      </c>
      <c r="F4" s="28" t="s">
        <v>320</v>
      </c>
      <c r="G4" s="28" t="s">
        <v>319</v>
      </c>
      <c r="H4" s="28" t="s">
        <v>38</v>
      </c>
      <c r="I4" s="28">
        <v>10</v>
      </c>
      <c r="J4" s="39">
        <v>500000</v>
      </c>
      <c r="K4" s="8">
        <f t="shared" ref="K4:K38" si="0">J4/((1-C4)*100)</f>
        <v>14423.076923076927</v>
      </c>
      <c r="L4" s="27">
        <v>50000000</v>
      </c>
      <c r="M4" s="19">
        <f t="shared" ref="M4:M38" si="1">IFERROR(L4/J4,0)</f>
        <v>100</v>
      </c>
      <c r="N4" s="9">
        <v>1E-3</v>
      </c>
      <c r="O4" s="19">
        <f>PSCTemplate[[#This Row],[Average KA Crash Frequency per Unit]]*PSCTemplate[[#This Row],[Sites Treated]]*PSCTemplate[[#This Row],[CMF for KA Crashes]]*PSCTemplate[[#This Row],[Service Life]]</f>
        <v>0.65333333333333343</v>
      </c>
      <c r="P4" s="19">
        <f>PSCTemplate[[#This Row],[KA Crashes Prevented]]*'Agency Customization - CM Score'!B$8</f>
        <v>5.8800000000000005E-2</v>
      </c>
      <c r="Q4" s="19">
        <f>PSCTemplate[[#This Row],[KA Crashes Prevented]]*'Agency Customization - CM Score'!B$9</f>
        <v>0.59453333333333347</v>
      </c>
      <c r="R4" s="40">
        <f>PSCTemplate[[#This Row],[KA Crashes Prevented]]*'Agency Customization - CM Score'!B$7</f>
        <v>2472559.2156862752</v>
      </c>
      <c r="S4" s="41">
        <f>PSCTemplate[[#This Row],[Estimated Benefits from KA Crash Reduction]]/PSCTemplate[[#This Row],[Investment]]</f>
        <v>4.9451184313725506E-2</v>
      </c>
    </row>
    <row r="5" spans="1:19" x14ac:dyDescent="0.25">
      <c r="A5" s="45" t="s">
        <v>29</v>
      </c>
      <c r="B5" s="45" t="s">
        <v>39</v>
      </c>
      <c r="C5" s="32">
        <v>0.49</v>
      </c>
      <c r="D5" s="28" t="s">
        <v>31</v>
      </c>
      <c r="E5" s="38">
        <v>11003</v>
      </c>
      <c r="F5" s="28" t="s">
        <v>40</v>
      </c>
      <c r="G5" s="28" t="s">
        <v>41</v>
      </c>
      <c r="H5" s="28" t="s">
        <v>34</v>
      </c>
      <c r="I5" s="28">
        <v>10</v>
      </c>
      <c r="J5" s="39">
        <v>100000</v>
      </c>
      <c r="K5" s="8">
        <f t="shared" si="0"/>
        <v>1960.7843137254902</v>
      </c>
      <c r="L5" s="27">
        <v>1000000</v>
      </c>
      <c r="M5" s="19">
        <f t="shared" si="1"/>
        <v>10</v>
      </c>
      <c r="N5" s="9">
        <v>0.05</v>
      </c>
      <c r="O5" s="19">
        <f>PSCTemplate[[#This Row],[Average KA Crash Frequency per Unit]]*PSCTemplate[[#This Row],[Sites Treated]]*PSCTemplate[[#This Row],[CMF for KA Crashes]]*PSCTemplate[[#This Row],[Service Life]]</f>
        <v>2.4500000000000002</v>
      </c>
      <c r="P5" s="19">
        <f>PSCTemplate[[#This Row],[KA Crashes Prevented]]*'Agency Customization - CM Score'!B$8</f>
        <v>0.2205</v>
      </c>
      <c r="Q5" s="19">
        <f>PSCTemplate[[#This Row],[KA Crashes Prevented]]*'Agency Customization - CM Score'!B$9</f>
        <v>2.2295000000000003</v>
      </c>
      <c r="R5" s="40">
        <f>PSCTemplate[[#This Row],[KA Crashes Prevented]]*'Agency Customization - CM Score'!B$7</f>
        <v>9272097.0588235296</v>
      </c>
      <c r="S5" s="41">
        <f>PSCTemplate[[#This Row],[Estimated Benefits from KA Crash Reduction]]/PSCTemplate[[#This Row],[Investment]]</f>
        <v>9.2720970588235296</v>
      </c>
    </row>
    <row r="6" spans="1:19" x14ac:dyDescent="0.25">
      <c r="A6" s="45" t="s">
        <v>42</v>
      </c>
      <c r="B6" s="45" t="s">
        <v>43</v>
      </c>
      <c r="C6" s="32">
        <f>AVERAGE((1-0.49),(1-0.3))</f>
        <v>0.60499999999999998</v>
      </c>
      <c r="D6" s="28" t="s">
        <v>31</v>
      </c>
      <c r="E6" s="38" t="s">
        <v>321</v>
      </c>
      <c r="F6" s="28" t="s">
        <v>323</v>
      </c>
      <c r="G6" s="28" t="s">
        <v>322</v>
      </c>
      <c r="H6" s="28" t="s">
        <v>46</v>
      </c>
      <c r="I6" s="28">
        <v>20</v>
      </c>
      <c r="J6" s="39">
        <v>500000</v>
      </c>
      <c r="K6" s="8">
        <f t="shared" si="0"/>
        <v>12658.227848101265</v>
      </c>
      <c r="L6" s="27">
        <v>120230000</v>
      </c>
      <c r="M6" s="19">
        <f t="shared" si="1"/>
        <v>240.46</v>
      </c>
      <c r="N6" s="9">
        <v>2E-3</v>
      </c>
      <c r="O6" s="19">
        <f>PSCTemplate[[#This Row],[Average KA Crash Frequency per Unit]]*PSCTemplate[[#This Row],[Sites Treated]]*PSCTemplate[[#This Row],[CMF for KA Crashes]]*PSCTemplate[[#This Row],[Service Life]]</f>
        <v>5.8191319999999997</v>
      </c>
      <c r="P6" s="19">
        <f>PSCTemplate[[#This Row],[KA Crashes Prevented]]*'Agency Customization - CM Score'!B$8</f>
        <v>0.52372187999999997</v>
      </c>
      <c r="Q6" s="19">
        <f>PSCTemplate[[#This Row],[KA Crashes Prevented]]*'Agency Customization - CM Score'!B$9</f>
        <v>5.2954101199999997</v>
      </c>
      <c r="R6" s="40">
        <f>PSCTemplate[[#This Row],[KA Crashes Prevented]]*'Agency Customization - CM Score'!B$7</f>
        <v>22022676.204941176</v>
      </c>
      <c r="S6" s="41">
        <f>PSCTemplate[[#This Row],[Estimated Benefits from KA Crash Reduction]]/PSCTemplate[[#This Row],[Investment]]</f>
        <v>0.18317122352941176</v>
      </c>
    </row>
    <row r="7" spans="1:19" x14ac:dyDescent="0.25">
      <c r="A7" s="45" t="s">
        <v>42</v>
      </c>
      <c r="B7" s="45" t="s">
        <v>47</v>
      </c>
      <c r="C7" s="32">
        <f>'Agency Customization - CM Score'!B26</f>
        <v>0.7219000000000001</v>
      </c>
      <c r="D7" s="28" t="s">
        <v>31</v>
      </c>
      <c r="E7" s="38" t="s">
        <v>324</v>
      </c>
      <c r="F7" s="28" t="s">
        <v>326</v>
      </c>
      <c r="G7" s="28" t="s">
        <v>325</v>
      </c>
      <c r="H7" s="28" t="s">
        <v>51</v>
      </c>
      <c r="I7" s="28">
        <v>5</v>
      </c>
      <c r="J7" s="39">
        <v>600000</v>
      </c>
      <c r="K7" s="8">
        <f t="shared" si="0"/>
        <v>21574.973031283716</v>
      </c>
      <c r="L7" s="27">
        <v>5000000</v>
      </c>
      <c r="M7" s="19">
        <f t="shared" si="1"/>
        <v>8.3333333333333339</v>
      </c>
      <c r="N7" s="9">
        <v>3.0000000000000001E-3</v>
      </c>
      <c r="O7" s="19">
        <f>PSCTemplate[[#This Row],[Average KA Crash Frequency per Unit]]*PSCTemplate[[#This Row],[Sites Treated]]*PSCTemplate[[#This Row],[CMF for KA Crashes]]*PSCTemplate[[#This Row],[Service Life]]</f>
        <v>9.0237500000000026E-2</v>
      </c>
      <c r="P7" s="19">
        <f>PSCTemplate[[#This Row],[KA Crashes Prevented]]*'Agency Customization - CM Score'!B$8</f>
        <v>8.1213750000000019E-3</v>
      </c>
      <c r="Q7" s="19">
        <f>PSCTemplate[[#This Row],[KA Crashes Prevented]]*'Agency Customization - CM Score'!B$9</f>
        <v>8.2116125000000026E-2</v>
      </c>
      <c r="R7" s="40">
        <f>PSCTemplate[[#This Row],[KA Crashes Prevented]]*'Agency Customization - CM Score'!B$7</f>
        <v>341506.47279411776</v>
      </c>
      <c r="S7" s="41">
        <f>PSCTemplate[[#This Row],[Estimated Benefits from KA Crash Reduction]]/PSCTemplate[[#This Row],[Investment]]</f>
        <v>6.8301294558823555E-2</v>
      </c>
    </row>
    <row r="8" spans="1:19" x14ac:dyDescent="0.25">
      <c r="A8" s="45" t="s">
        <v>42</v>
      </c>
      <c r="B8" s="45" t="s">
        <v>52</v>
      </c>
      <c r="C8" s="32">
        <v>0.86</v>
      </c>
      <c r="D8" s="28" t="s">
        <v>31</v>
      </c>
      <c r="E8" s="38">
        <v>9917</v>
      </c>
      <c r="F8" s="28" t="s">
        <v>53</v>
      </c>
      <c r="G8" s="28" t="s">
        <v>54</v>
      </c>
      <c r="H8" s="28" t="s">
        <v>55</v>
      </c>
      <c r="I8" s="28">
        <v>10</v>
      </c>
      <c r="J8" s="39"/>
      <c r="K8" s="8">
        <f t="shared" si="0"/>
        <v>0</v>
      </c>
      <c r="L8" s="27"/>
      <c r="M8" s="19">
        <f t="shared" si="1"/>
        <v>0</v>
      </c>
      <c r="N8" s="9"/>
      <c r="O8" s="19">
        <f>PSCTemplate[[#This Row],[Average KA Crash Frequency per Unit]]*PSCTemplate[[#This Row],[Sites Treated]]*PSCTemplate[[#This Row],[CMF for KA Crashes]]*PSCTemplate[[#This Row],[Service Life]]</f>
        <v>0</v>
      </c>
      <c r="P8" s="19">
        <f>PSCTemplate[[#This Row],[KA Crashes Prevented]]*'Agency Customization - CM Score'!B$8</f>
        <v>0</v>
      </c>
      <c r="Q8" s="19">
        <f>PSCTemplate[[#This Row],[KA Crashes Prevented]]*'Agency Customization - CM Score'!B$9</f>
        <v>0</v>
      </c>
      <c r="R8" s="40">
        <f>PSCTemplate[[#This Row],[KA Crashes Prevented]]*'Agency Customization - CM Score'!B$7</f>
        <v>0</v>
      </c>
      <c r="S8" s="41" t="e">
        <f>PSCTemplate[[#This Row],[Estimated Benefits from KA Crash Reduction]]/PSCTemplate[[#This Row],[Investment]]</f>
        <v>#DIV/0!</v>
      </c>
    </row>
    <row r="9" spans="1:19" x14ac:dyDescent="0.25">
      <c r="A9" s="45" t="s">
        <v>42</v>
      </c>
      <c r="B9" s="45" t="s">
        <v>56</v>
      </c>
      <c r="C9" s="32">
        <v>0.71399999999999997</v>
      </c>
      <c r="D9" s="28" t="s">
        <v>31</v>
      </c>
      <c r="E9" s="38">
        <v>9014</v>
      </c>
      <c r="F9" s="28" t="s">
        <v>57</v>
      </c>
      <c r="G9" s="28" t="s">
        <v>58</v>
      </c>
      <c r="H9" s="28" t="s">
        <v>51</v>
      </c>
      <c r="I9" s="28">
        <v>20</v>
      </c>
      <c r="J9" s="39"/>
      <c r="K9" s="8">
        <f t="shared" si="0"/>
        <v>0</v>
      </c>
      <c r="L9" s="27"/>
      <c r="M9" s="19">
        <f t="shared" si="1"/>
        <v>0</v>
      </c>
      <c r="N9" s="9"/>
      <c r="O9" s="19">
        <f>PSCTemplate[[#This Row],[Average KA Crash Frequency per Unit]]*PSCTemplate[[#This Row],[Sites Treated]]*PSCTemplate[[#This Row],[CMF for KA Crashes]]*PSCTemplate[[#This Row],[Service Life]]</f>
        <v>0</v>
      </c>
      <c r="P9" s="19">
        <f>PSCTemplate[[#This Row],[KA Crashes Prevented]]*'Agency Customization - CM Score'!B$8</f>
        <v>0</v>
      </c>
      <c r="Q9" s="19">
        <f>PSCTemplate[[#This Row],[KA Crashes Prevented]]*'Agency Customization - CM Score'!B$9</f>
        <v>0</v>
      </c>
      <c r="R9" s="40">
        <f>PSCTemplate[[#This Row],[KA Crashes Prevented]]*'Agency Customization - CM Score'!B$7</f>
        <v>0</v>
      </c>
      <c r="S9" s="41" t="e">
        <f>PSCTemplate[[#This Row],[Estimated Benefits from KA Crash Reduction]]/PSCTemplate[[#This Row],[Investment]]</f>
        <v>#DIV/0!</v>
      </c>
    </row>
    <row r="10" spans="1:19" x14ac:dyDescent="0.25">
      <c r="A10" s="45" t="s">
        <v>42</v>
      </c>
      <c r="B10" s="45" t="s">
        <v>59</v>
      </c>
      <c r="C10" s="32">
        <v>0.84899999999999998</v>
      </c>
      <c r="D10" s="28" t="s">
        <v>31</v>
      </c>
      <c r="E10" s="38">
        <v>2917</v>
      </c>
      <c r="F10" s="28" t="s">
        <v>60</v>
      </c>
      <c r="G10" s="28" t="s">
        <v>61</v>
      </c>
      <c r="H10" s="28" t="s">
        <v>51</v>
      </c>
      <c r="I10" s="28">
        <v>10</v>
      </c>
      <c r="J10" s="39"/>
      <c r="K10" s="8">
        <f t="shared" si="0"/>
        <v>0</v>
      </c>
      <c r="L10" s="27"/>
      <c r="M10" s="19">
        <f t="shared" si="1"/>
        <v>0</v>
      </c>
      <c r="N10" s="9"/>
      <c r="O10" s="19">
        <f>PSCTemplate[[#This Row],[Average KA Crash Frequency per Unit]]*PSCTemplate[[#This Row],[Sites Treated]]*PSCTemplate[[#This Row],[CMF for KA Crashes]]*PSCTemplate[[#This Row],[Service Life]]</f>
        <v>0</v>
      </c>
      <c r="P10" s="19">
        <f>PSCTemplate[[#This Row],[KA Crashes Prevented]]*'Agency Customization - CM Score'!B$8</f>
        <v>0</v>
      </c>
      <c r="Q10" s="19">
        <f>PSCTemplate[[#This Row],[KA Crashes Prevented]]*'Agency Customization - CM Score'!B$9</f>
        <v>0</v>
      </c>
      <c r="R10" s="40">
        <f>PSCTemplate[[#This Row],[KA Crashes Prevented]]*'Agency Customization - CM Score'!B$7</f>
        <v>0</v>
      </c>
      <c r="S10" s="41" t="e">
        <f>PSCTemplate[[#This Row],[Estimated Benefits from KA Crash Reduction]]/PSCTemplate[[#This Row],[Investment]]</f>
        <v>#DIV/0!</v>
      </c>
    </row>
    <row r="11" spans="1:19" x14ac:dyDescent="0.25">
      <c r="A11" s="45" t="s">
        <v>42</v>
      </c>
      <c r="B11" s="45" t="s">
        <v>62</v>
      </c>
      <c r="C11" s="32">
        <f>'Agency Customization - CM Score'!B30</f>
        <v>0.91002726822012892</v>
      </c>
      <c r="D11" s="28" t="s">
        <v>31</v>
      </c>
      <c r="E11" s="38">
        <v>9024</v>
      </c>
      <c r="F11" s="28" t="s">
        <v>371</v>
      </c>
      <c r="G11" s="28" t="s">
        <v>372</v>
      </c>
      <c r="H11" s="28" t="s">
        <v>51</v>
      </c>
      <c r="I11" s="28">
        <v>10</v>
      </c>
      <c r="J11" s="39"/>
      <c r="K11" s="8">
        <f t="shared" si="0"/>
        <v>0</v>
      </c>
      <c r="L11" s="27"/>
      <c r="M11" s="19">
        <f t="shared" si="1"/>
        <v>0</v>
      </c>
      <c r="N11" s="9"/>
      <c r="O11" s="19">
        <f>PSCTemplate[[#This Row],[Average KA Crash Frequency per Unit]]*PSCTemplate[[#This Row],[Sites Treated]]*PSCTemplate[[#This Row],[CMF for KA Crashes]]*PSCTemplate[[#This Row],[Service Life]]</f>
        <v>0</v>
      </c>
      <c r="P11" s="19">
        <f>PSCTemplate[[#This Row],[KA Crashes Prevented]]*'Agency Customization - CM Score'!B$8</f>
        <v>0</v>
      </c>
      <c r="Q11" s="19">
        <f>PSCTemplate[[#This Row],[KA Crashes Prevented]]*'Agency Customization - CM Score'!B$9</f>
        <v>0</v>
      </c>
      <c r="R11" s="40">
        <f>PSCTemplate[[#This Row],[KA Crashes Prevented]]*'Agency Customization - CM Score'!B$7</f>
        <v>0</v>
      </c>
      <c r="S11" s="41" t="e">
        <f>PSCTemplate[[#This Row],[Estimated Benefits from KA Crash Reduction]]/PSCTemplate[[#This Row],[Investment]]</f>
        <v>#DIV/0!</v>
      </c>
    </row>
    <row r="12" spans="1:19" x14ac:dyDescent="0.25">
      <c r="A12" s="45" t="s">
        <v>42</v>
      </c>
      <c r="B12" s="45" t="s">
        <v>66</v>
      </c>
      <c r="C12" s="32">
        <f>'Agency Customization - CM Score'!B28</f>
        <v>0.90488596926127907</v>
      </c>
      <c r="D12" s="28" t="s">
        <v>31</v>
      </c>
      <c r="E12" s="38" t="s">
        <v>307</v>
      </c>
      <c r="F12" s="28" t="s">
        <v>327</v>
      </c>
      <c r="G12" s="28" t="s">
        <v>50</v>
      </c>
      <c r="H12" s="28" t="s">
        <v>34</v>
      </c>
      <c r="I12" s="28">
        <v>20</v>
      </c>
      <c r="J12" s="39"/>
      <c r="K12" s="8">
        <f t="shared" si="0"/>
        <v>0</v>
      </c>
      <c r="L12" s="27"/>
      <c r="M12" s="19">
        <f t="shared" si="1"/>
        <v>0</v>
      </c>
      <c r="N12" s="9"/>
      <c r="O12" s="19">
        <f>PSCTemplate[[#This Row],[Average KA Crash Frequency per Unit]]*PSCTemplate[[#This Row],[Sites Treated]]*PSCTemplate[[#This Row],[CMF for KA Crashes]]*PSCTemplate[[#This Row],[Service Life]]</f>
        <v>0</v>
      </c>
      <c r="P12" s="19">
        <f>PSCTemplate[[#This Row],[KA Crashes Prevented]]*'Agency Customization - CM Score'!B$8</f>
        <v>0</v>
      </c>
      <c r="Q12" s="19">
        <f>PSCTemplate[[#This Row],[KA Crashes Prevented]]*'Agency Customization - CM Score'!B$9</f>
        <v>0</v>
      </c>
      <c r="R12" s="40">
        <f>PSCTemplate[[#This Row],[KA Crashes Prevented]]*'Agency Customization - CM Score'!B$7</f>
        <v>0</v>
      </c>
      <c r="S12" s="41" t="e">
        <f>PSCTemplate[[#This Row],[Estimated Benefits from KA Crash Reduction]]/PSCTemplate[[#This Row],[Investment]]</f>
        <v>#DIV/0!</v>
      </c>
    </row>
    <row r="13" spans="1:19" x14ac:dyDescent="0.25">
      <c r="A13" s="45" t="s">
        <v>68</v>
      </c>
      <c r="B13" s="45" t="s">
        <v>69</v>
      </c>
      <c r="C13" s="32">
        <f>AVERAGE((1-0.16),(1-0.15),(1-0.6),(1-0.365),(1-0.18))</f>
        <v>0.70899999999999996</v>
      </c>
      <c r="D13" s="28" t="s">
        <v>31</v>
      </c>
      <c r="E13" s="38" t="s">
        <v>328</v>
      </c>
      <c r="F13" s="28" t="s">
        <v>329</v>
      </c>
      <c r="G13" s="28" t="s">
        <v>330</v>
      </c>
      <c r="H13" s="28" t="s">
        <v>72</v>
      </c>
      <c r="I13" s="28">
        <v>15</v>
      </c>
      <c r="J13" s="39"/>
      <c r="K13" s="8">
        <f t="shared" si="0"/>
        <v>0</v>
      </c>
      <c r="L13" s="27"/>
      <c r="M13" s="19">
        <f t="shared" si="1"/>
        <v>0</v>
      </c>
      <c r="N13" s="9"/>
      <c r="O13" s="19">
        <f>PSCTemplate[[#This Row],[Average KA Crash Frequency per Unit]]*PSCTemplate[[#This Row],[Sites Treated]]*PSCTemplate[[#This Row],[CMF for KA Crashes]]*PSCTemplate[[#This Row],[Service Life]]</f>
        <v>0</v>
      </c>
      <c r="P13" s="19">
        <f>PSCTemplate[[#This Row],[KA Crashes Prevented]]*'Agency Customization - CM Score'!B$8</f>
        <v>0</v>
      </c>
      <c r="Q13" s="19">
        <f>PSCTemplate[[#This Row],[KA Crashes Prevented]]*'Agency Customization - CM Score'!B$9</f>
        <v>0</v>
      </c>
      <c r="R13" s="40">
        <f>PSCTemplate[[#This Row],[KA Crashes Prevented]]*'Agency Customization - CM Score'!B$7</f>
        <v>0</v>
      </c>
      <c r="S13" s="41" t="e">
        <f>PSCTemplate[[#This Row],[Estimated Benefits from KA Crash Reduction]]/PSCTemplate[[#This Row],[Investment]]</f>
        <v>#DIV/0!</v>
      </c>
    </row>
    <row r="14" spans="1:19" x14ac:dyDescent="0.25">
      <c r="A14" s="45" t="s">
        <v>68</v>
      </c>
      <c r="B14" s="45" t="s">
        <v>73</v>
      </c>
      <c r="C14" s="32">
        <f>AVERAGE(0.91, 0.78, 0.88)</f>
        <v>0.85666666666666658</v>
      </c>
      <c r="D14" s="28" t="s">
        <v>31</v>
      </c>
      <c r="E14" s="38" t="s">
        <v>331</v>
      </c>
      <c r="F14" s="28" t="s">
        <v>332</v>
      </c>
      <c r="G14" s="28" t="s">
        <v>191</v>
      </c>
      <c r="H14" s="28" t="s">
        <v>34</v>
      </c>
      <c r="I14" s="28">
        <v>10</v>
      </c>
      <c r="J14" s="39"/>
      <c r="K14" s="8">
        <f t="shared" si="0"/>
        <v>0</v>
      </c>
      <c r="L14" s="27"/>
      <c r="M14" s="19">
        <f t="shared" si="1"/>
        <v>0</v>
      </c>
      <c r="N14" s="9"/>
      <c r="O14" s="19">
        <f>PSCTemplate[[#This Row],[Average KA Crash Frequency per Unit]]*PSCTemplate[[#This Row],[Sites Treated]]*PSCTemplate[[#This Row],[CMF for KA Crashes]]*PSCTemplate[[#This Row],[Service Life]]</f>
        <v>0</v>
      </c>
      <c r="P14" s="19">
        <f>PSCTemplate[[#This Row],[KA Crashes Prevented]]*'Agency Customization - CM Score'!B$8</f>
        <v>0</v>
      </c>
      <c r="Q14" s="19">
        <f>PSCTemplate[[#This Row],[KA Crashes Prevented]]*'Agency Customization - CM Score'!B$9</f>
        <v>0</v>
      </c>
      <c r="R14" s="40">
        <f>PSCTemplate[[#This Row],[KA Crashes Prevented]]*'Agency Customization - CM Score'!B$7</f>
        <v>0</v>
      </c>
      <c r="S14" s="41" t="e">
        <f>PSCTemplate[[#This Row],[Estimated Benefits from KA Crash Reduction]]/PSCTemplate[[#This Row],[Investment]]</f>
        <v>#DIV/0!</v>
      </c>
    </row>
    <row r="15" spans="1:19" x14ac:dyDescent="0.25">
      <c r="A15" s="45" t="s">
        <v>68</v>
      </c>
      <c r="B15" s="45" t="s">
        <v>76</v>
      </c>
      <c r="C15" s="32">
        <f>AVERAGE(0.9,0.92, 1.05, 0.82, 0.72)</f>
        <v>0.88200000000000001</v>
      </c>
      <c r="D15" s="28" t="s">
        <v>31</v>
      </c>
      <c r="E15" s="38" t="s">
        <v>333</v>
      </c>
      <c r="F15" s="28" t="s">
        <v>334</v>
      </c>
      <c r="G15" s="28" t="s">
        <v>192</v>
      </c>
      <c r="H15" s="28" t="s">
        <v>34</v>
      </c>
      <c r="I15" s="28">
        <v>10</v>
      </c>
      <c r="J15" s="39"/>
      <c r="K15" s="8">
        <f t="shared" si="0"/>
        <v>0</v>
      </c>
      <c r="L15" s="27"/>
      <c r="M15" s="19">
        <f t="shared" si="1"/>
        <v>0</v>
      </c>
      <c r="N15" s="9"/>
      <c r="O15" s="19">
        <f>PSCTemplate[[#This Row],[Average KA Crash Frequency per Unit]]*PSCTemplate[[#This Row],[Sites Treated]]*PSCTemplate[[#This Row],[CMF for KA Crashes]]*PSCTemplate[[#This Row],[Service Life]]</f>
        <v>0</v>
      </c>
      <c r="P15" s="19">
        <f>PSCTemplate[[#This Row],[KA Crashes Prevented]]*'Agency Customization - CM Score'!B$8</f>
        <v>0</v>
      </c>
      <c r="Q15" s="19">
        <f>PSCTemplate[[#This Row],[KA Crashes Prevented]]*'Agency Customization - CM Score'!B$9</f>
        <v>0</v>
      </c>
      <c r="R15" s="40">
        <f>PSCTemplate[[#This Row],[KA Crashes Prevented]]*'Agency Customization - CM Score'!B$7</f>
        <v>0</v>
      </c>
      <c r="S15" s="41" t="e">
        <f>PSCTemplate[[#This Row],[Estimated Benefits from KA Crash Reduction]]/PSCTemplate[[#This Row],[Investment]]</f>
        <v>#DIV/0!</v>
      </c>
    </row>
    <row r="16" spans="1:19" x14ac:dyDescent="0.25">
      <c r="A16" s="45" t="s">
        <v>68</v>
      </c>
      <c r="B16" s="45" t="s">
        <v>78</v>
      </c>
      <c r="C16" s="32">
        <v>0.89</v>
      </c>
      <c r="D16" s="28" t="s">
        <v>31</v>
      </c>
      <c r="E16" s="38">
        <v>9205</v>
      </c>
      <c r="F16" s="28" t="s">
        <v>79</v>
      </c>
      <c r="G16" s="28" t="s">
        <v>61</v>
      </c>
      <c r="H16" s="28" t="s">
        <v>34</v>
      </c>
      <c r="I16" s="28">
        <v>10</v>
      </c>
      <c r="J16" s="39"/>
      <c r="K16" s="8">
        <f t="shared" si="0"/>
        <v>0</v>
      </c>
      <c r="L16" s="27"/>
      <c r="M16" s="19">
        <f t="shared" si="1"/>
        <v>0</v>
      </c>
      <c r="N16" s="9"/>
      <c r="O16" s="19">
        <f>PSCTemplate[[#This Row],[Average KA Crash Frequency per Unit]]*PSCTemplate[[#This Row],[Sites Treated]]*PSCTemplate[[#This Row],[CMF for KA Crashes]]*PSCTemplate[[#This Row],[Service Life]]</f>
        <v>0</v>
      </c>
      <c r="P16" s="19">
        <f>PSCTemplate[[#This Row],[KA Crashes Prevented]]*'Agency Customization - CM Score'!B$8</f>
        <v>0</v>
      </c>
      <c r="Q16" s="19">
        <f>PSCTemplate[[#This Row],[KA Crashes Prevented]]*'Agency Customization - CM Score'!B$9</f>
        <v>0</v>
      </c>
      <c r="R16" s="40">
        <f>PSCTemplate[[#This Row],[KA Crashes Prevented]]*'Agency Customization - CM Score'!B$7</f>
        <v>0</v>
      </c>
      <c r="S16" s="41" t="e">
        <f>PSCTemplate[[#This Row],[Estimated Benefits from KA Crash Reduction]]/PSCTemplate[[#This Row],[Investment]]</f>
        <v>#DIV/0!</v>
      </c>
    </row>
    <row r="17" spans="1:19" x14ac:dyDescent="0.25">
      <c r="A17" s="45" t="s">
        <v>68</v>
      </c>
      <c r="B17" s="45" t="s">
        <v>80</v>
      </c>
      <c r="C17" s="32">
        <f>AVERAGE(1-0.37,1-0.22)</f>
        <v>0.70500000000000007</v>
      </c>
      <c r="D17" s="28" t="s">
        <v>31</v>
      </c>
      <c r="E17" s="38" t="s">
        <v>336</v>
      </c>
      <c r="F17" s="28" t="s">
        <v>335</v>
      </c>
      <c r="G17" s="28" t="s">
        <v>337</v>
      </c>
      <c r="H17" s="28" t="s">
        <v>34</v>
      </c>
      <c r="I17" s="28">
        <v>1</v>
      </c>
      <c r="J17" s="39">
        <v>5000</v>
      </c>
      <c r="K17" s="8">
        <f t="shared" si="0"/>
        <v>169.49152542372886</v>
      </c>
      <c r="L17" s="27">
        <v>1000000</v>
      </c>
      <c r="M17" s="19">
        <f t="shared" si="1"/>
        <v>200</v>
      </c>
      <c r="N17" s="9">
        <v>0.01</v>
      </c>
      <c r="O17" s="19">
        <f>PSCTemplate[[#This Row],[Average KA Crash Frequency per Unit]]*PSCTemplate[[#This Row],[Sites Treated]]*PSCTemplate[[#This Row],[CMF for KA Crashes]]*PSCTemplate[[#This Row],[Service Life]]</f>
        <v>1.4100000000000001</v>
      </c>
      <c r="P17" s="19">
        <f>PSCTemplate[[#This Row],[KA Crashes Prevented]]*'Agency Customization - CM Score'!B$8</f>
        <v>0.12690000000000001</v>
      </c>
      <c r="Q17" s="19">
        <f>PSCTemplate[[#This Row],[KA Crashes Prevented]]*'Agency Customization - CM Score'!B$9</f>
        <v>1.2831000000000001</v>
      </c>
      <c r="R17" s="40">
        <f>PSCTemplate[[#This Row],[KA Crashes Prevented]]*'Agency Customization - CM Score'!B$7</f>
        <v>5336186.4705882361</v>
      </c>
      <c r="S17" s="41">
        <f>PSCTemplate[[#This Row],[Estimated Benefits from KA Crash Reduction]]/PSCTemplate[[#This Row],[Investment]]</f>
        <v>5.3361864705882365</v>
      </c>
    </row>
    <row r="18" spans="1:19" x14ac:dyDescent="0.25">
      <c r="A18" s="45" t="s">
        <v>68</v>
      </c>
      <c r="B18" s="45" t="s">
        <v>83</v>
      </c>
      <c r="C18" s="32">
        <f>0.57*('Agency Customization - CM Score'!B3/('Agency Customization - CM Score'!B3+'Agency Customization - CM Score'!B4))+0.7*('Agency Customization - CM Score'!B4/('Agency Customization - CM Score'!B3+'Agency Customization - CM Score'!B4))</f>
        <v>0.66176470588235292</v>
      </c>
      <c r="D18" s="28" t="s">
        <v>31</v>
      </c>
      <c r="E18" s="38" t="s">
        <v>339</v>
      </c>
      <c r="F18" s="28" t="s">
        <v>343</v>
      </c>
      <c r="G18" s="28" t="s">
        <v>338</v>
      </c>
      <c r="H18" s="28" t="s">
        <v>34</v>
      </c>
      <c r="I18" s="28">
        <v>25</v>
      </c>
      <c r="J18" s="39"/>
      <c r="K18" s="8">
        <f t="shared" si="0"/>
        <v>0</v>
      </c>
      <c r="L18" s="27"/>
      <c r="M18" s="19">
        <f t="shared" si="1"/>
        <v>0</v>
      </c>
      <c r="N18" s="9"/>
      <c r="O18" s="19">
        <f>PSCTemplate[[#This Row],[Average KA Crash Frequency per Unit]]*PSCTemplate[[#This Row],[Sites Treated]]*PSCTemplate[[#This Row],[CMF for KA Crashes]]*PSCTemplate[[#This Row],[Service Life]]</f>
        <v>0</v>
      </c>
      <c r="P18" s="19">
        <f>PSCTemplate[[#This Row],[KA Crashes Prevented]]*'Agency Customization - CM Score'!B$8</f>
        <v>0</v>
      </c>
      <c r="Q18" s="19">
        <f>PSCTemplate[[#This Row],[KA Crashes Prevented]]*'Agency Customization - CM Score'!B$9</f>
        <v>0</v>
      </c>
      <c r="R18" s="40">
        <f>PSCTemplate[[#This Row],[KA Crashes Prevented]]*'Agency Customization - CM Score'!B$7</f>
        <v>0</v>
      </c>
      <c r="S18" s="41" t="e">
        <f>PSCTemplate[[#This Row],[Estimated Benefits from KA Crash Reduction]]/PSCTemplate[[#This Row],[Investment]]</f>
        <v>#DIV/0!</v>
      </c>
    </row>
    <row r="19" spans="1:19" x14ac:dyDescent="0.25">
      <c r="A19" s="45" t="s">
        <v>68</v>
      </c>
      <c r="B19" s="45" t="s">
        <v>86</v>
      </c>
      <c r="C19" s="32">
        <f>C18</f>
        <v>0.66176470588235292</v>
      </c>
      <c r="D19" s="28" t="s">
        <v>31</v>
      </c>
      <c r="E19" s="38" t="s">
        <v>339</v>
      </c>
      <c r="F19" s="28" t="s">
        <v>343</v>
      </c>
      <c r="G19" s="28" t="s">
        <v>338</v>
      </c>
      <c r="H19" s="28" t="s">
        <v>34</v>
      </c>
      <c r="I19" s="28">
        <v>25</v>
      </c>
      <c r="J19" s="39"/>
      <c r="K19" s="8">
        <f t="shared" si="0"/>
        <v>0</v>
      </c>
      <c r="L19" s="27"/>
      <c r="M19" s="19">
        <f t="shared" si="1"/>
        <v>0</v>
      </c>
      <c r="N19" s="9"/>
      <c r="O19" s="19">
        <f>PSCTemplate[[#This Row],[Average KA Crash Frequency per Unit]]*PSCTemplate[[#This Row],[Sites Treated]]*PSCTemplate[[#This Row],[CMF for KA Crashes]]*PSCTemplate[[#This Row],[Service Life]]</f>
        <v>0</v>
      </c>
      <c r="P19" s="19">
        <f>PSCTemplate[[#This Row],[KA Crashes Prevented]]*'Agency Customization - CM Score'!B$8</f>
        <v>0</v>
      </c>
      <c r="Q19" s="19">
        <f>PSCTemplate[[#This Row],[KA Crashes Prevented]]*'Agency Customization - CM Score'!B$9</f>
        <v>0</v>
      </c>
      <c r="R19" s="40">
        <f>PSCTemplate[[#This Row],[KA Crashes Prevented]]*'Agency Customization - CM Score'!B$7</f>
        <v>0</v>
      </c>
      <c r="S19" s="41" t="e">
        <f>PSCTemplate[[#This Row],[Estimated Benefits from KA Crash Reduction]]/PSCTemplate[[#This Row],[Investment]]</f>
        <v>#DIV/0!</v>
      </c>
    </row>
    <row r="20" spans="1:19" x14ac:dyDescent="0.25">
      <c r="A20" s="45" t="s">
        <v>68</v>
      </c>
      <c r="B20" s="45" t="s">
        <v>87</v>
      </c>
      <c r="C20" s="32">
        <f>C19</f>
        <v>0.66176470588235292</v>
      </c>
      <c r="D20" s="28" t="s">
        <v>31</v>
      </c>
      <c r="E20" s="38" t="s">
        <v>339</v>
      </c>
      <c r="F20" s="28" t="s">
        <v>343</v>
      </c>
      <c r="G20" s="28" t="s">
        <v>338</v>
      </c>
      <c r="H20" s="28" t="s">
        <v>34</v>
      </c>
      <c r="I20" s="28">
        <v>25</v>
      </c>
      <c r="J20" s="39"/>
      <c r="K20" s="8">
        <f t="shared" si="0"/>
        <v>0</v>
      </c>
      <c r="L20" s="27"/>
      <c r="M20" s="19">
        <f t="shared" si="1"/>
        <v>0</v>
      </c>
      <c r="N20" s="9"/>
      <c r="O20" s="19">
        <f>PSCTemplate[[#This Row],[Average KA Crash Frequency per Unit]]*PSCTemplate[[#This Row],[Sites Treated]]*PSCTemplate[[#This Row],[CMF for KA Crashes]]*PSCTemplate[[#This Row],[Service Life]]</f>
        <v>0</v>
      </c>
      <c r="P20" s="19">
        <f>PSCTemplate[[#This Row],[KA Crashes Prevented]]*'Agency Customization - CM Score'!B$8</f>
        <v>0</v>
      </c>
      <c r="Q20" s="19">
        <f>PSCTemplate[[#This Row],[KA Crashes Prevented]]*'Agency Customization - CM Score'!B$9</f>
        <v>0</v>
      </c>
      <c r="R20" s="40">
        <f>PSCTemplate[[#This Row],[KA Crashes Prevented]]*'Agency Customization - CM Score'!B$7</f>
        <v>0</v>
      </c>
      <c r="S20" s="41" t="e">
        <f>PSCTemplate[[#This Row],[Estimated Benefits from KA Crash Reduction]]/PSCTemplate[[#This Row],[Investment]]</f>
        <v>#DIV/0!</v>
      </c>
    </row>
    <row r="21" spans="1:19" x14ac:dyDescent="0.25">
      <c r="A21" s="45" t="s">
        <v>68</v>
      </c>
      <c r="B21" s="45" t="s">
        <v>88</v>
      </c>
      <c r="C21" s="32">
        <f>AVERAGE(0.94, 0.91, 0.88, 0.85, 0.95, 0.92, 0.89, 0.85, 0.97, 0.93,0.89, 0.97, 0.92, 0.95)</f>
        <v>0.9157142857142857</v>
      </c>
      <c r="D21" s="28" t="s">
        <v>31</v>
      </c>
      <c r="E21" s="38" t="s">
        <v>340</v>
      </c>
      <c r="F21" s="28" t="s">
        <v>344</v>
      </c>
      <c r="G21" s="28" t="s">
        <v>193</v>
      </c>
      <c r="H21" s="28" t="s">
        <v>72</v>
      </c>
      <c r="I21" s="28">
        <v>20</v>
      </c>
      <c r="J21" s="39"/>
      <c r="K21" s="8">
        <f t="shared" si="0"/>
        <v>0</v>
      </c>
      <c r="L21" s="27"/>
      <c r="M21" s="19">
        <f t="shared" si="1"/>
        <v>0</v>
      </c>
      <c r="N21" s="9"/>
      <c r="O21" s="19">
        <f>PSCTemplate[[#This Row],[Average KA Crash Frequency per Unit]]*PSCTemplate[[#This Row],[Sites Treated]]*PSCTemplate[[#This Row],[CMF for KA Crashes]]*PSCTemplate[[#This Row],[Service Life]]</f>
        <v>0</v>
      </c>
      <c r="P21" s="19">
        <f>PSCTemplate[[#This Row],[KA Crashes Prevented]]*'Agency Customization - CM Score'!B$8</f>
        <v>0</v>
      </c>
      <c r="Q21" s="19">
        <f>PSCTemplate[[#This Row],[KA Crashes Prevented]]*'Agency Customization - CM Score'!B$9</f>
        <v>0</v>
      </c>
      <c r="R21" s="40">
        <f>PSCTemplate[[#This Row],[KA Crashes Prevented]]*'Agency Customization - CM Score'!B$7</f>
        <v>0</v>
      </c>
      <c r="S21" s="41" t="e">
        <f>PSCTemplate[[#This Row],[Estimated Benefits from KA Crash Reduction]]/PSCTemplate[[#This Row],[Investment]]</f>
        <v>#DIV/0!</v>
      </c>
    </row>
    <row r="22" spans="1:19" x14ac:dyDescent="0.25">
      <c r="A22" s="45" t="s">
        <v>68</v>
      </c>
      <c r="B22" s="45" t="s">
        <v>91</v>
      </c>
      <c r="C22" s="32">
        <v>0.67</v>
      </c>
      <c r="D22" s="28" t="s">
        <v>31</v>
      </c>
      <c r="E22" s="38" t="s">
        <v>345</v>
      </c>
      <c r="F22" s="28" t="s">
        <v>346</v>
      </c>
      <c r="G22" s="28" t="s">
        <v>347</v>
      </c>
      <c r="H22" s="28" t="s">
        <v>72</v>
      </c>
      <c r="I22" s="28">
        <v>10</v>
      </c>
      <c r="J22" s="39"/>
      <c r="K22" s="8">
        <f t="shared" si="0"/>
        <v>0</v>
      </c>
      <c r="L22" s="27"/>
      <c r="M22" s="19">
        <f t="shared" si="1"/>
        <v>0</v>
      </c>
      <c r="N22" s="9"/>
      <c r="O22" s="19">
        <f>PSCTemplate[[#This Row],[Average KA Crash Frequency per Unit]]*PSCTemplate[[#This Row],[Sites Treated]]*PSCTemplate[[#This Row],[CMF for KA Crashes]]*PSCTemplate[[#This Row],[Service Life]]</f>
        <v>0</v>
      </c>
      <c r="P22" s="19">
        <f>PSCTemplate[[#This Row],[KA Crashes Prevented]]*'Agency Customization - CM Score'!B$8</f>
        <v>0</v>
      </c>
      <c r="Q22" s="19">
        <f>PSCTemplate[[#This Row],[KA Crashes Prevented]]*'Agency Customization - CM Score'!B$9</f>
        <v>0</v>
      </c>
      <c r="R22" s="40">
        <f>PSCTemplate[[#This Row],[KA Crashes Prevented]]*'Agency Customization - CM Score'!B$7</f>
        <v>0</v>
      </c>
      <c r="S22" s="41" t="e">
        <f>PSCTemplate[[#This Row],[Estimated Benefits from KA Crash Reduction]]/PSCTemplate[[#This Row],[Investment]]</f>
        <v>#DIV/0!</v>
      </c>
    </row>
    <row r="23" spans="1:19" x14ac:dyDescent="0.25">
      <c r="A23" s="45" t="s">
        <v>68</v>
      </c>
      <c r="B23" s="45" t="s">
        <v>92</v>
      </c>
      <c r="C23" s="32">
        <f>AVERAGE(0.688,0.5,0.68,0.51)</f>
        <v>0.59450000000000003</v>
      </c>
      <c r="D23" s="28" t="s">
        <v>31</v>
      </c>
      <c r="E23" s="38" t="s">
        <v>260</v>
      </c>
      <c r="F23" s="28" t="s">
        <v>348</v>
      </c>
      <c r="G23" s="28" t="s">
        <v>349</v>
      </c>
      <c r="H23" s="28" t="s">
        <v>72</v>
      </c>
      <c r="I23" s="28">
        <v>20</v>
      </c>
      <c r="J23" s="39"/>
      <c r="K23" s="8">
        <f t="shared" si="0"/>
        <v>0</v>
      </c>
      <c r="L23" s="27"/>
      <c r="M23" s="19">
        <f t="shared" si="1"/>
        <v>0</v>
      </c>
      <c r="N23" s="9"/>
      <c r="O23" s="19">
        <f>PSCTemplate[[#This Row],[Average KA Crash Frequency per Unit]]*PSCTemplate[[#This Row],[Sites Treated]]*PSCTemplate[[#This Row],[CMF for KA Crashes]]*PSCTemplate[[#This Row],[Service Life]]</f>
        <v>0</v>
      </c>
      <c r="P23" s="19">
        <f>PSCTemplate[[#This Row],[KA Crashes Prevented]]*'Agency Customization - CM Score'!B$8</f>
        <v>0</v>
      </c>
      <c r="Q23" s="19">
        <f>PSCTemplate[[#This Row],[KA Crashes Prevented]]*'Agency Customization - CM Score'!B$9</f>
        <v>0</v>
      </c>
      <c r="R23" s="40">
        <f>PSCTemplate[[#This Row],[KA Crashes Prevented]]*'Agency Customization - CM Score'!B$7</f>
        <v>0</v>
      </c>
      <c r="S23" s="41" t="e">
        <f>PSCTemplate[[#This Row],[Estimated Benefits from KA Crash Reduction]]/PSCTemplate[[#This Row],[Investment]]</f>
        <v>#DIV/0!</v>
      </c>
    </row>
    <row r="24" spans="1:19" x14ac:dyDescent="0.25">
      <c r="A24" s="45" t="s">
        <v>68</v>
      </c>
      <c r="B24" s="45" t="s">
        <v>95</v>
      </c>
      <c r="C24" s="32">
        <v>0.72299999999999998</v>
      </c>
      <c r="D24" s="28" t="s">
        <v>31</v>
      </c>
      <c r="E24" s="38">
        <v>10309</v>
      </c>
      <c r="F24" s="28" t="s">
        <v>96</v>
      </c>
      <c r="G24" s="28" t="s">
        <v>97</v>
      </c>
      <c r="H24" s="28" t="s">
        <v>72</v>
      </c>
      <c r="I24" s="28">
        <v>25</v>
      </c>
      <c r="J24" s="39"/>
      <c r="K24" s="8">
        <f t="shared" si="0"/>
        <v>0</v>
      </c>
      <c r="L24" s="27"/>
      <c r="M24" s="19">
        <f t="shared" si="1"/>
        <v>0</v>
      </c>
      <c r="N24" s="9"/>
      <c r="O24" s="19">
        <f>PSCTemplate[[#This Row],[Average KA Crash Frequency per Unit]]*PSCTemplate[[#This Row],[Sites Treated]]*PSCTemplate[[#This Row],[CMF for KA Crashes]]*PSCTemplate[[#This Row],[Service Life]]</f>
        <v>0</v>
      </c>
      <c r="P24" s="19">
        <f>PSCTemplate[[#This Row],[KA Crashes Prevented]]*'Agency Customization - CM Score'!B$8</f>
        <v>0</v>
      </c>
      <c r="Q24" s="19">
        <f>PSCTemplate[[#This Row],[KA Crashes Prevented]]*'Agency Customization - CM Score'!B$9</f>
        <v>0</v>
      </c>
      <c r="R24" s="40">
        <f>PSCTemplate[[#This Row],[KA Crashes Prevented]]*'Agency Customization - CM Score'!B$7</f>
        <v>0</v>
      </c>
      <c r="S24" s="41" t="e">
        <f>PSCTemplate[[#This Row],[Estimated Benefits from KA Crash Reduction]]/PSCTemplate[[#This Row],[Investment]]</f>
        <v>#DIV/0!</v>
      </c>
    </row>
    <row r="25" spans="1:19" x14ac:dyDescent="0.25">
      <c r="A25" s="45" t="s">
        <v>98</v>
      </c>
      <c r="B25" s="45" t="s">
        <v>99</v>
      </c>
      <c r="C25" s="32">
        <v>0.85</v>
      </c>
      <c r="D25" s="28" t="s">
        <v>31</v>
      </c>
      <c r="E25" s="38">
        <v>1410</v>
      </c>
      <c r="F25" s="28" t="s">
        <v>350</v>
      </c>
      <c r="G25" s="28" t="s">
        <v>61</v>
      </c>
      <c r="H25" s="28" t="s">
        <v>55</v>
      </c>
      <c r="I25" s="28">
        <v>10</v>
      </c>
      <c r="J25" s="39"/>
      <c r="K25" s="8">
        <f t="shared" si="0"/>
        <v>0</v>
      </c>
      <c r="L25" s="27"/>
      <c r="M25" s="19">
        <f t="shared" si="1"/>
        <v>0</v>
      </c>
      <c r="N25" s="9"/>
      <c r="O25" s="19">
        <f>PSCTemplate[[#This Row],[Average KA Crash Frequency per Unit]]*PSCTemplate[[#This Row],[Sites Treated]]*PSCTemplate[[#This Row],[CMF for KA Crashes]]*PSCTemplate[[#This Row],[Service Life]]</f>
        <v>0</v>
      </c>
      <c r="P25" s="19">
        <f>PSCTemplate[[#This Row],[KA Crashes Prevented]]*'Agency Customization - CM Score'!B$8</f>
        <v>0</v>
      </c>
      <c r="Q25" s="19">
        <f>PSCTemplate[[#This Row],[KA Crashes Prevented]]*'Agency Customization - CM Score'!B$9</f>
        <v>0</v>
      </c>
      <c r="R25" s="40">
        <f>PSCTemplate[[#This Row],[KA Crashes Prevented]]*'Agency Customization - CM Score'!B$7</f>
        <v>0</v>
      </c>
      <c r="S25" s="41" t="e">
        <f>PSCTemplate[[#This Row],[Estimated Benefits from KA Crash Reduction]]/PSCTemplate[[#This Row],[Investment]]</f>
        <v>#DIV/0!</v>
      </c>
    </row>
    <row r="26" spans="1:19" x14ac:dyDescent="0.25">
      <c r="A26" s="45" t="s">
        <v>98</v>
      </c>
      <c r="B26" s="45" t="s">
        <v>101</v>
      </c>
      <c r="C26" s="32">
        <f>AVERAGE((1-0.25),(1-0.31))</f>
        <v>0.72</v>
      </c>
      <c r="D26" s="28" t="s">
        <v>31</v>
      </c>
      <c r="E26" s="38" t="s">
        <v>351</v>
      </c>
      <c r="F26" s="28" t="s">
        <v>352</v>
      </c>
      <c r="G26" s="28" t="s">
        <v>103</v>
      </c>
      <c r="H26" s="28" t="s">
        <v>34</v>
      </c>
      <c r="I26" s="28">
        <v>20</v>
      </c>
      <c r="J26" s="39"/>
      <c r="K26" s="8">
        <f t="shared" si="0"/>
        <v>0</v>
      </c>
      <c r="L26" s="27"/>
      <c r="M26" s="19">
        <f t="shared" si="1"/>
        <v>0</v>
      </c>
      <c r="N26" s="9"/>
      <c r="O26" s="19">
        <f>PSCTemplate[[#This Row],[Average KA Crash Frequency per Unit]]*PSCTemplate[[#This Row],[Sites Treated]]*PSCTemplate[[#This Row],[CMF for KA Crashes]]*PSCTemplate[[#This Row],[Service Life]]</f>
        <v>0</v>
      </c>
      <c r="P26" s="19">
        <f>PSCTemplate[[#This Row],[KA Crashes Prevented]]*'Agency Customization - CM Score'!B$8</f>
        <v>0</v>
      </c>
      <c r="Q26" s="19">
        <f>PSCTemplate[[#This Row],[KA Crashes Prevented]]*'Agency Customization - CM Score'!B$9</f>
        <v>0</v>
      </c>
      <c r="R26" s="40">
        <f>PSCTemplate[[#This Row],[KA Crashes Prevented]]*'Agency Customization - CM Score'!B$7</f>
        <v>0</v>
      </c>
      <c r="S26" s="41" t="e">
        <f>PSCTemplate[[#This Row],[Estimated Benefits from KA Crash Reduction]]/PSCTemplate[[#This Row],[Investment]]</f>
        <v>#DIV/0!</v>
      </c>
    </row>
    <row r="27" spans="1:19" x14ac:dyDescent="0.25">
      <c r="A27" s="45" t="s">
        <v>98</v>
      </c>
      <c r="B27" s="45" t="s">
        <v>104</v>
      </c>
      <c r="C27" s="32">
        <v>0.64</v>
      </c>
      <c r="D27" s="28" t="s">
        <v>31</v>
      </c>
      <c r="E27" s="38">
        <v>6096</v>
      </c>
      <c r="F27" s="28" t="s">
        <v>353</v>
      </c>
      <c r="G27" s="28" t="s">
        <v>61</v>
      </c>
      <c r="H27" s="28" t="s">
        <v>106</v>
      </c>
      <c r="I27" s="28">
        <v>20</v>
      </c>
      <c r="J27" s="39"/>
      <c r="K27" s="8">
        <f t="shared" si="0"/>
        <v>0</v>
      </c>
      <c r="L27" s="27"/>
      <c r="M27" s="19">
        <f t="shared" si="1"/>
        <v>0</v>
      </c>
      <c r="N27" s="9"/>
      <c r="O27" s="19">
        <f>PSCTemplate[[#This Row],[Average KA Crash Frequency per Unit]]*PSCTemplate[[#This Row],[Sites Treated]]*PSCTemplate[[#This Row],[CMF for KA Crashes]]*PSCTemplate[[#This Row],[Service Life]]</f>
        <v>0</v>
      </c>
      <c r="P27" s="19">
        <f>PSCTemplate[[#This Row],[KA Crashes Prevented]]*'Agency Customization - CM Score'!B$8</f>
        <v>0</v>
      </c>
      <c r="Q27" s="19">
        <f>PSCTemplate[[#This Row],[KA Crashes Prevented]]*'Agency Customization - CM Score'!B$9</f>
        <v>0</v>
      </c>
      <c r="R27" s="40">
        <f>PSCTemplate[[#This Row],[KA Crashes Prevented]]*'Agency Customization - CM Score'!B$7</f>
        <v>0</v>
      </c>
      <c r="S27" s="41" t="e">
        <f>PSCTemplate[[#This Row],[Estimated Benefits from KA Crash Reduction]]/PSCTemplate[[#This Row],[Investment]]</f>
        <v>#DIV/0!</v>
      </c>
    </row>
    <row r="28" spans="1:19" x14ac:dyDescent="0.25">
      <c r="A28" s="45" t="s">
        <v>98</v>
      </c>
      <c r="B28" s="45" t="s">
        <v>107</v>
      </c>
      <c r="C28" s="32">
        <f>AVERAGE(1-0.14,1-0.26)</f>
        <v>0.8</v>
      </c>
      <c r="D28" s="28" t="s">
        <v>31</v>
      </c>
      <c r="E28" s="38" t="s">
        <v>354</v>
      </c>
      <c r="F28" s="28" t="s">
        <v>355</v>
      </c>
      <c r="G28" s="28" t="s">
        <v>356</v>
      </c>
      <c r="H28" s="28" t="s">
        <v>106</v>
      </c>
      <c r="I28" s="28">
        <v>20</v>
      </c>
      <c r="J28" s="39"/>
      <c r="K28" s="8">
        <f t="shared" si="0"/>
        <v>0</v>
      </c>
      <c r="L28" s="27"/>
      <c r="M28" s="19">
        <f t="shared" si="1"/>
        <v>0</v>
      </c>
      <c r="N28" s="9"/>
      <c r="O28" s="19">
        <f>PSCTemplate[[#This Row],[Average KA Crash Frequency per Unit]]*PSCTemplate[[#This Row],[Sites Treated]]*PSCTemplate[[#This Row],[CMF for KA Crashes]]*PSCTemplate[[#This Row],[Service Life]]</f>
        <v>0</v>
      </c>
      <c r="P28" s="19">
        <f>PSCTemplate[[#This Row],[KA Crashes Prevented]]*'Agency Customization - CM Score'!B$8</f>
        <v>0</v>
      </c>
      <c r="Q28" s="19">
        <f>PSCTemplate[[#This Row],[KA Crashes Prevented]]*'Agency Customization - CM Score'!B$9</f>
        <v>0</v>
      </c>
      <c r="R28" s="40">
        <f>PSCTemplate[[#This Row],[KA Crashes Prevented]]*'Agency Customization - CM Score'!B$7</f>
        <v>0</v>
      </c>
      <c r="S28" s="41" t="e">
        <f>PSCTemplate[[#This Row],[Estimated Benefits from KA Crash Reduction]]/PSCTemplate[[#This Row],[Investment]]</f>
        <v>#DIV/0!</v>
      </c>
    </row>
    <row r="29" spans="1:19" x14ac:dyDescent="0.25">
      <c r="A29" s="45" t="s">
        <v>98</v>
      </c>
      <c r="B29" s="45" t="s">
        <v>108</v>
      </c>
      <c r="C29" s="32">
        <f>AVERAGE(1-0.54, 1-0.22,1-0.63)</f>
        <v>0.53666666666666663</v>
      </c>
      <c r="D29" s="28" t="s">
        <v>31</v>
      </c>
      <c r="E29" s="38" t="s">
        <v>357</v>
      </c>
      <c r="F29" s="28" t="s">
        <v>358</v>
      </c>
      <c r="G29" s="28" t="s">
        <v>359</v>
      </c>
      <c r="H29" s="28" t="s">
        <v>106</v>
      </c>
      <c r="I29" s="28">
        <v>20</v>
      </c>
      <c r="J29" s="39"/>
      <c r="K29" s="8">
        <f t="shared" si="0"/>
        <v>0</v>
      </c>
      <c r="L29" s="27"/>
      <c r="M29" s="19">
        <f t="shared" si="1"/>
        <v>0</v>
      </c>
      <c r="N29" s="9"/>
      <c r="O29" s="19">
        <f>PSCTemplate[[#This Row],[Average KA Crash Frequency per Unit]]*PSCTemplate[[#This Row],[Sites Treated]]*PSCTemplate[[#This Row],[CMF for KA Crashes]]*PSCTemplate[[#This Row],[Service Life]]</f>
        <v>0</v>
      </c>
      <c r="P29" s="19">
        <f>PSCTemplate[[#This Row],[KA Crashes Prevented]]*'Agency Customization - CM Score'!B$8</f>
        <v>0</v>
      </c>
      <c r="Q29" s="19">
        <f>PSCTemplate[[#This Row],[KA Crashes Prevented]]*'Agency Customization - CM Score'!B$9</f>
        <v>0</v>
      </c>
      <c r="R29" s="40">
        <f>PSCTemplate[[#This Row],[KA Crashes Prevented]]*'Agency Customization - CM Score'!B$7</f>
        <v>0</v>
      </c>
      <c r="S29" s="41" t="e">
        <f>PSCTemplate[[#This Row],[Estimated Benefits from KA Crash Reduction]]/PSCTemplate[[#This Row],[Investment]]</f>
        <v>#DIV/0!</v>
      </c>
    </row>
    <row r="30" spans="1:19" x14ac:dyDescent="0.25">
      <c r="A30" s="45" t="s">
        <v>98</v>
      </c>
      <c r="B30" s="45" t="s">
        <v>111</v>
      </c>
      <c r="C30" s="32">
        <v>0.7</v>
      </c>
      <c r="D30" s="28" t="s">
        <v>31</v>
      </c>
      <c r="E30" s="38">
        <v>10867</v>
      </c>
      <c r="F30" s="28" t="s">
        <v>360</v>
      </c>
      <c r="G30" s="28" t="s">
        <v>61</v>
      </c>
      <c r="H30" s="28" t="s">
        <v>106</v>
      </c>
      <c r="I30" s="28">
        <v>20</v>
      </c>
      <c r="J30" s="39"/>
      <c r="K30" s="8">
        <f t="shared" si="0"/>
        <v>0</v>
      </c>
      <c r="L30" s="27"/>
      <c r="M30" s="19">
        <f t="shared" si="1"/>
        <v>0</v>
      </c>
      <c r="N30" s="9"/>
      <c r="O30" s="19">
        <f>PSCTemplate[[#This Row],[Average KA Crash Frequency per Unit]]*PSCTemplate[[#This Row],[Sites Treated]]*PSCTemplate[[#This Row],[CMF for KA Crashes]]*PSCTemplate[[#This Row],[Service Life]]</f>
        <v>0</v>
      </c>
      <c r="P30" s="19">
        <f>PSCTemplate[[#This Row],[KA Crashes Prevented]]*'Agency Customization - CM Score'!B$8</f>
        <v>0</v>
      </c>
      <c r="Q30" s="19">
        <f>PSCTemplate[[#This Row],[KA Crashes Prevented]]*'Agency Customization - CM Score'!B$9</f>
        <v>0</v>
      </c>
      <c r="R30" s="40">
        <f>PSCTemplate[[#This Row],[KA Crashes Prevented]]*'Agency Customization - CM Score'!B$7</f>
        <v>0</v>
      </c>
      <c r="S30" s="41" t="e">
        <f>PSCTemplate[[#This Row],[Estimated Benefits from KA Crash Reduction]]/PSCTemplate[[#This Row],[Investment]]</f>
        <v>#DIV/0!</v>
      </c>
    </row>
    <row r="31" spans="1:19" x14ac:dyDescent="0.25">
      <c r="A31" s="45" t="s">
        <v>98</v>
      </c>
      <c r="B31" s="45" t="s">
        <v>112</v>
      </c>
      <c r="C31" s="32">
        <v>0.2</v>
      </c>
      <c r="D31" s="28" t="s">
        <v>31</v>
      </c>
      <c r="E31" s="38" t="s">
        <v>361</v>
      </c>
      <c r="F31" s="28" t="s">
        <v>362</v>
      </c>
      <c r="G31" s="28" t="s">
        <v>363</v>
      </c>
      <c r="H31" s="28" t="s">
        <v>106</v>
      </c>
      <c r="I31" s="28">
        <v>20</v>
      </c>
      <c r="J31" s="39"/>
      <c r="K31" s="8">
        <f t="shared" si="0"/>
        <v>0</v>
      </c>
      <c r="L31" s="27"/>
      <c r="M31" s="19">
        <f t="shared" si="1"/>
        <v>0</v>
      </c>
      <c r="N31" s="9"/>
      <c r="O31" s="19">
        <f>PSCTemplate[[#This Row],[Average KA Crash Frequency per Unit]]*PSCTemplate[[#This Row],[Sites Treated]]*PSCTemplate[[#This Row],[CMF for KA Crashes]]*PSCTemplate[[#This Row],[Service Life]]</f>
        <v>0</v>
      </c>
      <c r="P31" s="19">
        <f>PSCTemplate[[#This Row],[KA Crashes Prevented]]*'Agency Customization - CM Score'!B$8</f>
        <v>0</v>
      </c>
      <c r="Q31" s="19">
        <f>PSCTemplate[[#This Row],[KA Crashes Prevented]]*'Agency Customization - CM Score'!B$9</f>
        <v>0</v>
      </c>
      <c r="R31" s="40">
        <f>PSCTemplate[[#This Row],[KA Crashes Prevented]]*'Agency Customization - CM Score'!B$7</f>
        <v>0</v>
      </c>
      <c r="S31" s="41" t="e">
        <f>PSCTemplate[[#This Row],[Estimated Benefits from KA Crash Reduction]]/PSCTemplate[[#This Row],[Investment]]</f>
        <v>#DIV/0!</v>
      </c>
    </row>
    <row r="32" spans="1:19" x14ac:dyDescent="0.25">
      <c r="A32" s="45" t="s">
        <v>98</v>
      </c>
      <c r="B32" s="45" t="s">
        <v>114</v>
      </c>
      <c r="C32" s="32">
        <v>0.9</v>
      </c>
      <c r="D32" s="28" t="s">
        <v>31</v>
      </c>
      <c r="E32" s="38">
        <v>8867</v>
      </c>
      <c r="F32" s="28" t="s">
        <v>364</v>
      </c>
      <c r="G32" s="28" t="s">
        <v>116</v>
      </c>
      <c r="H32" s="28" t="s">
        <v>194</v>
      </c>
      <c r="I32" s="28">
        <v>15</v>
      </c>
      <c r="J32" s="39"/>
      <c r="K32" s="8">
        <f t="shared" si="0"/>
        <v>0</v>
      </c>
      <c r="L32" s="27"/>
      <c r="M32" s="19">
        <f t="shared" si="1"/>
        <v>0</v>
      </c>
      <c r="N32" s="9"/>
      <c r="O32" s="19">
        <f>PSCTemplate[[#This Row],[Average KA Crash Frequency per Unit]]*PSCTemplate[[#This Row],[Sites Treated]]*PSCTemplate[[#This Row],[CMF for KA Crashes]]*PSCTemplate[[#This Row],[Service Life]]</f>
        <v>0</v>
      </c>
      <c r="P32" s="19">
        <f>PSCTemplate[[#This Row],[KA Crashes Prevented]]*'Agency Customization - CM Score'!B$8</f>
        <v>0</v>
      </c>
      <c r="Q32" s="19">
        <f>PSCTemplate[[#This Row],[KA Crashes Prevented]]*'Agency Customization - CM Score'!B$9</f>
        <v>0</v>
      </c>
      <c r="R32" s="40">
        <f>PSCTemplate[[#This Row],[KA Crashes Prevented]]*'Agency Customization - CM Score'!B$7</f>
        <v>0</v>
      </c>
      <c r="S32" s="41" t="e">
        <f>PSCTemplate[[#This Row],[Estimated Benefits from KA Crash Reduction]]/PSCTemplate[[#This Row],[Investment]]</f>
        <v>#DIV/0!</v>
      </c>
    </row>
    <row r="33" spans="1:19" x14ac:dyDescent="0.25">
      <c r="A33" s="45" t="s">
        <v>98</v>
      </c>
      <c r="B33" s="45" t="s">
        <v>117</v>
      </c>
      <c r="C33" s="32">
        <v>0.88</v>
      </c>
      <c r="D33" s="28" t="s">
        <v>31</v>
      </c>
      <c r="E33" s="38">
        <v>384</v>
      </c>
      <c r="F33" s="28" t="s">
        <v>365</v>
      </c>
      <c r="G33" s="28" t="s">
        <v>119</v>
      </c>
      <c r="H33" s="28" t="s">
        <v>106</v>
      </c>
      <c r="I33" s="28">
        <v>10</v>
      </c>
      <c r="J33" s="39"/>
      <c r="K33" s="8">
        <f t="shared" si="0"/>
        <v>0</v>
      </c>
      <c r="L33" s="27"/>
      <c r="M33" s="19">
        <f t="shared" si="1"/>
        <v>0</v>
      </c>
      <c r="N33" s="9"/>
      <c r="O33" s="19">
        <f>PSCTemplate[[#This Row],[Average KA Crash Frequency per Unit]]*PSCTemplate[[#This Row],[Sites Treated]]*PSCTemplate[[#This Row],[CMF for KA Crashes]]*PSCTemplate[[#This Row],[Service Life]]</f>
        <v>0</v>
      </c>
      <c r="P33" s="19">
        <f>PSCTemplate[[#This Row],[KA Crashes Prevented]]*'Agency Customization - CM Score'!B$8</f>
        <v>0</v>
      </c>
      <c r="Q33" s="19">
        <f>PSCTemplate[[#This Row],[KA Crashes Prevented]]*'Agency Customization - CM Score'!B$9</f>
        <v>0</v>
      </c>
      <c r="R33" s="40">
        <f>PSCTemplate[[#This Row],[KA Crashes Prevented]]*'Agency Customization - CM Score'!B$7</f>
        <v>0</v>
      </c>
      <c r="S33" s="41" t="e">
        <f>PSCTemplate[[#This Row],[Estimated Benefits from KA Crash Reduction]]/PSCTemplate[[#This Row],[Investment]]</f>
        <v>#DIV/0!</v>
      </c>
    </row>
    <row r="34" spans="1:19" x14ac:dyDescent="0.25">
      <c r="A34" s="45" t="s">
        <v>120</v>
      </c>
      <c r="B34" s="45" t="s">
        <v>121</v>
      </c>
      <c r="C34" s="32">
        <v>0.83</v>
      </c>
      <c r="D34" s="28" t="s">
        <v>31</v>
      </c>
      <c r="E34" s="38" t="s">
        <v>307</v>
      </c>
      <c r="F34" s="28" t="s">
        <v>122</v>
      </c>
      <c r="G34" s="28" t="s">
        <v>123</v>
      </c>
      <c r="H34" s="28" t="s">
        <v>124</v>
      </c>
      <c r="I34" s="28">
        <v>10</v>
      </c>
      <c r="J34" s="39"/>
      <c r="K34" s="8">
        <f t="shared" si="0"/>
        <v>0</v>
      </c>
      <c r="L34" s="27"/>
      <c r="M34" s="19">
        <f t="shared" si="1"/>
        <v>0</v>
      </c>
      <c r="N34" s="9"/>
      <c r="O34" s="19">
        <f>PSCTemplate[[#This Row],[Average KA Crash Frequency per Unit]]*PSCTemplate[[#This Row],[Sites Treated]]*PSCTemplate[[#This Row],[CMF for KA Crashes]]*PSCTemplate[[#This Row],[Service Life]]</f>
        <v>0</v>
      </c>
      <c r="P34" s="19">
        <f>PSCTemplate[[#This Row],[KA Crashes Prevented]]*'Agency Customization - CM Score'!B$8</f>
        <v>0</v>
      </c>
      <c r="Q34" s="19">
        <f>PSCTemplate[[#This Row],[KA Crashes Prevented]]*'Agency Customization - CM Score'!B$9</f>
        <v>0</v>
      </c>
      <c r="R34" s="40">
        <f>PSCTemplate[[#This Row],[KA Crashes Prevented]]*'Agency Customization - CM Score'!B$7</f>
        <v>0</v>
      </c>
      <c r="S34" s="41" t="e">
        <f>PSCTemplate[[#This Row],[Estimated Benefits from KA Crash Reduction]]/PSCTemplate[[#This Row],[Investment]]</f>
        <v>#DIV/0!</v>
      </c>
    </row>
    <row r="35" spans="1:19" x14ac:dyDescent="0.25">
      <c r="A35" s="45" t="s">
        <v>120</v>
      </c>
      <c r="B35" s="45" t="s">
        <v>125</v>
      </c>
      <c r="C35" s="32">
        <f>AVERAGE(1-0.63,1-0.48)</f>
        <v>0.44500000000000001</v>
      </c>
      <c r="D35" s="28" t="s">
        <v>31</v>
      </c>
      <c r="E35" s="38" t="s">
        <v>366</v>
      </c>
      <c r="F35" s="28" t="s">
        <v>367</v>
      </c>
      <c r="G35" s="28" t="s">
        <v>368</v>
      </c>
      <c r="H35" s="28" t="s">
        <v>127</v>
      </c>
      <c r="I35" s="28">
        <v>10</v>
      </c>
      <c r="J35" s="39"/>
      <c r="K35" s="8">
        <f t="shared" si="0"/>
        <v>0</v>
      </c>
      <c r="L35" s="27"/>
      <c r="M35" s="19">
        <f t="shared" si="1"/>
        <v>0</v>
      </c>
      <c r="N35" s="9"/>
      <c r="O35" s="19">
        <f>PSCTemplate[[#This Row],[Average KA Crash Frequency per Unit]]*PSCTemplate[[#This Row],[Sites Treated]]*PSCTemplate[[#This Row],[CMF for KA Crashes]]*PSCTemplate[[#This Row],[Service Life]]</f>
        <v>0</v>
      </c>
      <c r="P35" s="19">
        <f>PSCTemplate[[#This Row],[KA Crashes Prevented]]*'Agency Customization - CM Score'!B$8</f>
        <v>0</v>
      </c>
      <c r="Q35" s="19">
        <f>PSCTemplate[[#This Row],[KA Crashes Prevented]]*'Agency Customization - CM Score'!B$9</f>
        <v>0</v>
      </c>
      <c r="R35" s="40">
        <f>PSCTemplate[[#This Row],[KA Crashes Prevented]]*'Agency Customization - CM Score'!B$7</f>
        <v>0</v>
      </c>
      <c r="S35" s="41" t="e">
        <f>PSCTemplate[[#This Row],[Estimated Benefits from KA Crash Reduction]]/PSCTemplate[[#This Row],[Investment]]</f>
        <v>#DIV/0!</v>
      </c>
    </row>
    <row r="36" spans="1:19" x14ac:dyDescent="0.25">
      <c r="A36" s="45" t="s">
        <v>120</v>
      </c>
      <c r="B36" s="45" t="s">
        <v>128</v>
      </c>
      <c r="C36" s="32">
        <f>AVERAGE(1-0.1,1-0.6)</f>
        <v>0.65</v>
      </c>
      <c r="D36" s="28" t="s">
        <v>31</v>
      </c>
      <c r="E36" s="38" t="s">
        <v>307</v>
      </c>
      <c r="F36" s="28" t="s">
        <v>129</v>
      </c>
      <c r="G36" s="28" t="s">
        <v>50</v>
      </c>
      <c r="H36" s="28" t="s">
        <v>127</v>
      </c>
      <c r="I36" s="28">
        <v>20</v>
      </c>
      <c r="J36" s="39"/>
      <c r="K36" s="8">
        <f t="shared" si="0"/>
        <v>0</v>
      </c>
      <c r="L36" s="27"/>
      <c r="M36" s="19">
        <f t="shared" si="1"/>
        <v>0</v>
      </c>
      <c r="N36" s="9"/>
      <c r="O36" s="19">
        <f>PSCTemplate[[#This Row],[Average KA Crash Frequency per Unit]]*PSCTemplate[[#This Row],[Sites Treated]]*PSCTemplate[[#This Row],[CMF for KA Crashes]]*PSCTemplate[[#This Row],[Service Life]]</f>
        <v>0</v>
      </c>
      <c r="P36" s="19">
        <f>PSCTemplate[[#This Row],[KA Crashes Prevented]]*'Agency Customization - CM Score'!B$8</f>
        <v>0</v>
      </c>
      <c r="Q36" s="19">
        <f>PSCTemplate[[#This Row],[KA Crashes Prevented]]*'Agency Customization - CM Score'!B$9</f>
        <v>0</v>
      </c>
      <c r="R36" s="40">
        <f>PSCTemplate[[#This Row],[KA Crashes Prevented]]*'Agency Customization - CM Score'!B$7</f>
        <v>0</v>
      </c>
      <c r="S36" s="41" t="e">
        <f>PSCTemplate[[#This Row],[Estimated Benefits from KA Crash Reduction]]/PSCTemplate[[#This Row],[Investment]]</f>
        <v>#DIV/0!</v>
      </c>
    </row>
    <row r="37" spans="1:19" x14ac:dyDescent="0.25">
      <c r="A37" s="45" t="s">
        <v>120</v>
      </c>
      <c r="B37" s="45" t="s">
        <v>130</v>
      </c>
      <c r="C37" s="32">
        <f>'Agency Customization - CM Score'!B33</f>
        <v>0.72280000000000011</v>
      </c>
      <c r="D37" s="28" t="s">
        <v>31</v>
      </c>
      <c r="E37" s="38" t="s">
        <v>341</v>
      </c>
      <c r="F37" s="28" t="s">
        <v>369</v>
      </c>
      <c r="G37" s="28" t="s">
        <v>195</v>
      </c>
      <c r="H37" s="28" t="s">
        <v>106</v>
      </c>
      <c r="I37" s="28">
        <v>15</v>
      </c>
      <c r="J37" s="39"/>
      <c r="K37" s="8">
        <f t="shared" si="0"/>
        <v>0</v>
      </c>
      <c r="L37" s="27"/>
      <c r="M37" s="19">
        <f t="shared" si="1"/>
        <v>0</v>
      </c>
      <c r="N37" s="9"/>
      <c r="O37" s="19">
        <f>PSCTemplate[[#This Row],[Average KA Crash Frequency per Unit]]*PSCTemplate[[#This Row],[Sites Treated]]*PSCTemplate[[#This Row],[CMF for KA Crashes]]*PSCTemplate[[#This Row],[Service Life]]</f>
        <v>0</v>
      </c>
      <c r="P37" s="19">
        <f>PSCTemplate[[#This Row],[KA Crashes Prevented]]*'Agency Customization - CM Score'!B$8</f>
        <v>0</v>
      </c>
      <c r="Q37" s="19">
        <f>PSCTemplate[[#This Row],[KA Crashes Prevented]]*'Agency Customization - CM Score'!B$9</f>
        <v>0</v>
      </c>
      <c r="R37" s="40">
        <f>PSCTemplate[[#This Row],[KA Crashes Prevented]]*'Agency Customization - CM Score'!B$7</f>
        <v>0</v>
      </c>
      <c r="S37" s="41" t="e">
        <f>PSCTemplate[[#This Row],[Estimated Benefits from KA Crash Reduction]]/PSCTemplate[[#This Row],[Investment]]</f>
        <v>#DIV/0!</v>
      </c>
    </row>
    <row r="38" spans="1:19" x14ac:dyDescent="0.25">
      <c r="A38" s="45" t="s">
        <v>120</v>
      </c>
      <c r="B38" s="45" t="s">
        <v>134</v>
      </c>
      <c r="C38" s="32">
        <f>0.27*('Agency Customization - CM Score'!B3/('Agency Customization - CM Score'!B3+'Agency Customization - CM Score'!B4))+0.8*('Agency Customization - CM Score'!B4/('Agency Customization - CM Score'!B3+'Agency Customization - CM Score'!B4))</f>
        <v>0.64411764705882368</v>
      </c>
      <c r="D38" s="28" t="s">
        <v>31</v>
      </c>
      <c r="E38" s="38" t="s">
        <v>342</v>
      </c>
      <c r="F38" s="28" t="s">
        <v>370</v>
      </c>
      <c r="G38" s="28" t="s">
        <v>196</v>
      </c>
      <c r="H38" s="28" t="s">
        <v>34</v>
      </c>
      <c r="I38" s="28">
        <v>15</v>
      </c>
      <c r="J38" s="39"/>
      <c r="K38" s="8">
        <f t="shared" si="0"/>
        <v>0</v>
      </c>
      <c r="L38" s="27"/>
      <c r="M38" s="19">
        <f t="shared" si="1"/>
        <v>0</v>
      </c>
      <c r="N38" s="9"/>
      <c r="O38" s="19">
        <f>PSCTemplate[[#This Row],[Average KA Crash Frequency per Unit]]*PSCTemplate[[#This Row],[Sites Treated]]*PSCTemplate[[#This Row],[CMF for KA Crashes]]*PSCTemplate[[#This Row],[Service Life]]</f>
        <v>0</v>
      </c>
      <c r="P38" s="19">
        <f>PSCTemplate[[#This Row],[KA Crashes Prevented]]*'Agency Customization - CM Score'!B$8</f>
        <v>0</v>
      </c>
      <c r="Q38" s="19">
        <f>PSCTemplate[[#This Row],[KA Crashes Prevented]]*'Agency Customization - CM Score'!B$9</f>
        <v>0</v>
      </c>
      <c r="R38" s="40">
        <f>PSCTemplate[[#This Row],[KA Crashes Prevented]]*'Agency Customization - CM Score'!B$7</f>
        <v>0</v>
      </c>
      <c r="S38" s="41" t="e">
        <f>PSCTemplate[[#This Row],[Estimated Benefits from KA Crash Reduction]]/PSCTemplate[[#This Row],[Investment]]</f>
        <v>#DIV/0!</v>
      </c>
    </row>
    <row r="39" spans="1:19" x14ac:dyDescent="0.25">
      <c r="A39" s="1"/>
      <c r="B39" s="1"/>
      <c r="C39" s="1"/>
      <c r="D39" s="1"/>
      <c r="E39" s="1"/>
      <c r="F39" s="1"/>
      <c r="G39" s="1"/>
      <c r="H39" s="1"/>
      <c r="I39" s="1"/>
      <c r="J39" s="1"/>
      <c r="K39" s="1"/>
      <c r="M39" s="4"/>
      <c r="P39" s="20"/>
      <c r="Q39" s="20"/>
      <c r="R39" s="20"/>
      <c r="S39" s="4"/>
    </row>
  </sheetData>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76FED-8F36-4AA8-94E3-696A334F43B6}">
  <dimension ref="A1:B7"/>
  <sheetViews>
    <sheetView workbookViewId="0">
      <selection activeCell="A2" sqref="A2"/>
    </sheetView>
  </sheetViews>
  <sheetFormatPr defaultRowHeight="15" x14ac:dyDescent="0.25"/>
  <cols>
    <col min="1" max="1" width="37.140625" bestFit="1" customWidth="1"/>
    <col min="2" max="2" width="15.5703125" bestFit="1" customWidth="1"/>
  </cols>
  <sheetData>
    <row r="1" spans="1:2" ht="23.25" x14ac:dyDescent="0.35">
      <c r="A1" s="25" t="s">
        <v>262</v>
      </c>
    </row>
    <row r="2" spans="1:2" ht="18" thickBot="1" x14ac:dyDescent="0.35">
      <c r="A2" s="26" t="s">
        <v>256</v>
      </c>
      <c r="B2" s="26" t="s">
        <v>257</v>
      </c>
    </row>
    <row r="3" spans="1:2" ht="15.75" thickTop="1" x14ac:dyDescent="0.25">
      <c r="A3" s="23" t="s">
        <v>266</v>
      </c>
      <c r="B3" s="29">
        <f>SUM('CM Score Template'!L:L)</f>
        <v>178230000</v>
      </c>
    </row>
    <row r="4" spans="1:2" x14ac:dyDescent="0.25">
      <c r="A4" s="23" t="s">
        <v>380</v>
      </c>
      <c r="B4" s="29">
        <f>SUM('CM Score Template'!R:R)</f>
        <v>43645853.069892153</v>
      </c>
    </row>
    <row r="5" spans="1:2" x14ac:dyDescent="0.25">
      <c r="A5" s="23" t="s">
        <v>268</v>
      </c>
      <c r="B5" s="30">
        <f>SUM('CM Score Template'!P:P)</f>
        <v>1.0379432550000001</v>
      </c>
    </row>
    <row r="6" spans="1:2" x14ac:dyDescent="0.25">
      <c r="A6" s="23" t="s">
        <v>269</v>
      </c>
      <c r="B6" s="30">
        <f>SUM('CM Score Template'!Q:Q)</f>
        <v>10.494759578333333</v>
      </c>
    </row>
    <row r="7" spans="1:2" x14ac:dyDescent="0.25">
      <c r="A7" s="23" t="s">
        <v>270</v>
      </c>
      <c r="B7" s="31">
        <f>B4/B3</f>
        <v>0.24488499730624561</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3</vt:i4>
      </vt:variant>
    </vt:vector>
  </HeadingPairs>
  <TitlesOfParts>
    <vt:vector size="13" baseType="lpstr">
      <vt:lpstr>Cover</vt:lpstr>
      <vt:lpstr>Instructions</vt:lpstr>
      <vt:lpstr>Agency Customization - BCR</vt:lpstr>
      <vt:lpstr>CM Score Template-Original CMF</vt:lpstr>
      <vt:lpstr>BCR Template</vt:lpstr>
      <vt:lpstr>BCR Results</vt:lpstr>
      <vt:lpstr>Agency Customization - CM Score</vt:lpstr>
      <vt:lpstr>CM Score Template</vt:lpstr>
      <vt:lpstr>CM Score Results</vt:lpstr>
      <vt:lpstr>PSC Cost Information</vt:lpstr>
      <vt:lpstr>Instructions!_Ref175734841</vt:lpstr>
      <vt:lpstr>Instructions!_Ref175735226</vt:lpstr>
      <vt:lpstr>Instructions!_Ref175735649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Proven Safety Countermeasures Funding Scenario Tool</dc:title>
  <dc:subject/>
  <dc:creator>FHWA@vhb.com</dc:creator>
  <cp:keywords/>
  <dc:description/>
  <cp:lastModifiedBy>Scurry, Karen (FHWA)</cp:lastModifiedBy>
  <cp:revision/>
  <dcterms:created xsi:type="dcterms:W3CDTF">2015-06-05T18:17:20Z</dcterms:created>
  <dcterms:modified xsi:type="dcterms:W3CDTF">2025-10-23T14:27:50Z</dcterms:modified>
  <cp:category/>
  <cp:contentStatus/>
</cp:coreProperties>
</file>