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chael.marandi\AppData\Local\Temp\OneNote\16.0\Exported\{BC06C7A2-9B41-46BB-BEA5-618461609FFB}\NT\5\"/>
    </mc:Choice>
  </mc:AlternateContent>
  <xr:revisionPtr revIDLastSave="0" documentId="13_ncr:1_{CDF25E04-A8DC-4F68-94E9-932271D49D9F}" xr6:coauthVersionLast="47" xr6:coauthVersionMax="47" xr10:uidLastSave="{00000000-0000-0000-0000-000000000000}"/>
  <bookViews>
    <workbookView xWindow="435" yWindow="255" windowWidth="12120" windowHeight="14655" xr2:uid="{00000000-000D-0000-FFFF-FFFF00000000}"/>
  </bookViews>
  <sheets>
    <sheet name="MPPI" sheetId="1" r:id="rId1"/>
    <sheet name="BPI" sheetId="2" r:id="rId2"/>
  </sheets>
  <definedNames>
    <definedName name="_xlnm.Print_Titles" localSheetId="0">MPPI!$1:$3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13" i="1" l="1"/>
  <c r="C216" i="1" s="1"/>
  <c r="D216" i="1" s="1"/>
  <c r="B212" i="1"/>
  <c r="B211" i="1" l="1"/>
  <c r="B210" i="1" l="1"/>
  <c r="B209" i="1" l="1"/>
  <c r="C212" i="1" s="1"/>
  <c r="D212" i="1" s="1"/>
  <c r="B208" i="1"/>
  <c r="B207" i="1"/>
  <c r="B206" i="1" l="1"/>
  <c r="B205" i="1" l="1"/>
  <c r="B204" i="1"/>
  <c r="B203" i="1" l="1"/>
  <c r="C207" i="1" l="1"/>
  <c r="D207" i="1" s="1"/>
  <c r="B202" i="1" l="1"/>
  <c r="B201" i="1" l="1"/>
  <c r="B200" i="1"/>
  <c r="B199" i="1"/>
  <c r="C203" i="1" l="1"/>
  <c r="D203" i="1" s="1"/>
  <c r="B197" i="1" l="1"/>
  <c r="B198" i="1"/>
  <c r="B196" i="1" l="1"/>
  <c r="B195" i="1"/>
  <c r="C198" i="1" s="1"/>
  <c r="D198" i="1" s="1"/>
  <c r="B191" i="1"/>
  <c r="B194" i="1"/>
  <c r="B193" i="1"/>
  <c r="B192" i="1"/>
  <c r="C194" i="1" l="1"/>
  <c r="D194" i="1" s="1"/>
  <c r="B190" i="1" l="1"/>
  <c r="B189" i="1" l="1"/>
  <c r="B188" i="1" l="1"/>
  <c r="B187" i="1"/>
  <c r="B186" i="1"/>
  <c r="C190" i="1" l="1"/>
  <c r="D190" i="1" s="1"/>
  <c r="B185" i="1"/>
  <c r="B184" i="1" l="1"/>
  <c r="B183" i="1" l="1"/>
  <c r="B182" i="1"/>
  <c r="B181" i="1"/>
  <c r="B180" i="1"/>
  <c r="B179" i="1"/>
  <c r="C185" i="1" l="1"/>
  <c r="D185" i="1" s="1"/>
  <c r="B178" i="1"/>
  <c r="C181" i="1" s="1"/>
  <c r="D181" i="1" s="1"/>
  <c r="B177" i="1"/>
  <c r="B176" i="1"/>
  <c r="B174" i="1" l="1"/>
  <c r="B175" i="1"/>
  <c r="B173" i="1" l="1"/>
  <c r="C177" i="1"/>
  <c r="D177" i="1" s="1"/>
  <c r="B172" i="1"/>
  <c r="B171" i="1" l="1"/>
  <c r="B170" i="1" l="1"/>
  <c r="B169" i="1" l="1"/>
  <c r="C172" i="1" s="1"/>
  <c r="D172" i="1" s="1"/>
  <c r="B168" i="1"/>
  <c r="B167" i="1" l="1"/>
  <c r="B166" i="1"/>
  <c r="B165" i="1"/>
  <c r="B164" i="1"/>
  <c r="C168" i="1" l="1"/>
  <c r="D168" i="1" s="1"/>
  <c r="B163" i="1"/>
  <c r="B162" i="1" l="1"/>
  <c r="B161" i="1" l="1"/>
  <c r="C164" i="1" l="1"/>
  <c r="D164" i="1" s="1"/>
  <c r="B160" i="1"/>
  <c r="B159" i="1" l="1"/>
  <c r="B158" i="1"/>
  <c r="B157" i="1"/>
  <c r="B156" i="1"/>
  <c r="C159" i="1" l="1"/>
  <c r="D159" i="1" s="1"/>
  <c r="B155" i="1"/>
  <c r="B154" i="1" l="1"/>
  <c r="B153" i="1" l="1"/>
  <c r="B152" i="1"/>
  <c r="C155" i="1" s="1"/>
  <c r="D155" i="1" s="1"/>
  <c r="B151" i="1"/>
  <c r="B150" i="1"/>
  <c r="B149" i="1" l="1"/>
  <c r="B148" i="1"/>
  <c r="B147" i="1"/>
  <c r="B146" i="1"/>
  <c r="B145" i="1"/>
  <c r="B144" i="1"/>
  <c r="C150" i="1" l="1"/>
  <c r="D150" i="1"/>
  <c r="B143" i="1"/>
  <c r="C146" i="1" s="1"/>
  <c r="D146" i="1" s="1"/>
  <c r="B142" i="1"/>
  <c r="B141" i="1"/>
  <c r="B140" i="1"/>
  <c r="B139" i="1" l="1"/>
  <c r="C142" i="1" s="1"/>
  <c r="D142" i="1" s="1"/>
  <c r="B138" i="1"/>
  <c r="B137" i="1" l="1"/>
  <c r="B136" i="1"/>
  <c r="B135" i="1"/>
  <c r="B134" i="1"/>
  <c r="B133" i="1"/>
  <c r="B132" i="1"/>
  <c r="B131" i="1"/>
  <c r="B130" i="1"/>
  <c r="B129" i="1"/>
  <c r="B128" i="1"/>
  <c r="B127" i="1"/>
  <c r="B126" i="1"/>
  <c r="C129" i="1" l="1"/>
  <c r="D129" i="1" s="1"/>
  <c r="C137" i="1"/>
  <c r="D137" i="1" s="1"/>
  <c r="C133" i="1"/>
  <c r="D133" i="1" s="1"/>
  <c r="B125" i="1"/>
  <c r="B124" i="1"/>
  <c r="B123" i="1"/>
  <c r="B122" i="1"/>
  <c r="B121" i="1"/>
  <c r="C125" i="1" l="1"/>
  <c r="D125" i="1" s="1"/>
  <c r="B120" i="1"/>
  <c r="B119" i="1"/>
  <c r="B118" i="1"/>
  <c r="B117" i="1" l="1"/>
  <c r="C120" i="1" s="1"/>
  <c r="D120" i="1" s="1"/>
  <c r="B116" i="1"/>
  <c r="B115" i="1"/>
  <c r="B114" i="1"/>
  <c r="B113" i="1"/>
  <c r="B112" i="1"/>
  <c r="B111" i="1"/>
  <c r="B110" i="1"/>
  <c r="B109" i="1"/>
  <c r="B108" i="1"/>
  <c r="B107" i="1"/>
  <c r="C116" i="1" l="1"/>
  <c r="D116" i="1" s="1"/>
  <c r="C111" i="1"/>
  <c r="D111" i="1" s="1"/>
  <c r="B106" i="1"/>
  <c r="B105" i="1"/>
  <c r="B104" i="1"/>
  <c r="C107" i="1" s="1"/>
  <c r="D107" i="1" s="1"/>
  <c r="B103" i="1"/>
  <c r="B102" i="1" l="1"/>
  <c r="B101" i="1" l="1"/>
  <c r="B100" i="1" l="1"/>
  <c r="C103" i="1" s="1"/>
  <c r="D103" i="1" s="1"/>
  <c r="B99" i="1"/>
  <c r="B98" i="1"/>
  <c r="B97" i="1" l="1"/>
  <c r="B96" i="1"/>
  <c r="B95" i="1"/>
  <c r="B94" i="1"/>
  <c r="B93" i="1"/>
  <c r="B92" i="1"/>
  <c r="C98" i="1" l="1"/>
  <c r="D98" i="1" s="1"/>
  <c r="B91" i="1"/>
  <c r="C94" i="1" s="1"/>
  <c r="D94" i="1" s="1"/>
  <c r="B90" i="1" l="1"/>
  <c r="B89" i="1" l="1"/>
  <c r="B88" i="1" l="1"/>
  <c r="B87" i="1" l="1"/>
  <c r="C90" i="1" s="1"/>
  <c r="D90" i="1" s="1"/>
  <c r="B86" i="1" l="1"/>
  <c r="B85" i="1" l="1"/>
  <c r="B84" i="1" l="1"/>
  <c r="B83" i="1" l="1"/>
  <c r="B82" i="1" l="1"/>
  <c r="C85" i="1" s="1"/>
  <c r="D85" i="1" s="1"/>
  <c r="B81" i="1" l="1"/>
  <c r="B80" i="1" l="1"/>
  <c r="B79" i="1" l="1"/>
  <c r="B78" i="1" l="1"/>
  <c r="C81" i="1" s="1"/>
  <c r="D81" i="1" s="1"/>
  <c r="B77" i="1" l="1"/>
  <c r="B76" i="1" l="1"/>
  <c r="B75" i="1" l="1"/>
  <c r="B74" i="1" l="1"/>
  <c r="C77" i="1" s="1"/>
  <c r="D77" i="1" s="1"/>
  <c r="B73" i="1" l="1"/>
  <c r="B72" i="1" l="1"/>
  <c r="B71" i="1" l="1"/>
  <c r="B70" i="1" l="1"/>
  <c r="B68" i="1" l="1"/>
  <c r="B69" i="1"/>
  <c r="C72" i="1" s="1"/>
  <c r="D72" i="1" s="1"/>
  <c r="B67" i="1" l="1"/>
  <c r="B66" i="1" l="1"/>
  <c r="B65" i="1" l="1"/>
  <c r="C68" i="1" s="1"/>
  <c r="D68" i="1" s="1"/>
  <c r="B64" i="1" l="1"/>
  <c r="B63" i="1" l="1"/>
  <c r="B62" i="1" l="1"/>
  <c r="B61" i="1" l="1"/>
  <c r="C64" i="1" l="1"/>
  <c r="D64" i="1" s="1"/>
  <c r="B60" i="1"/>
  <c r="B59" i="1" l="1"/>
  <c r="B58" i="1" l="1"/>
  <c r="B57" i="1" l="1"/>
  <c r="B56" i="1"/>
  <c r="C59" i="1" s="1"/>
  <c r="D59" i="1" s="1"/>
  <c r="B55" i="1" l="1"/>
  <c r="B54" i="1" l="1"/>
  <c r="B53" i="1" l="1"/>
  <c r="B52" i="1" l="1"/>
  <c r="C55" i="1" l="1"/>
  <c r="D55" i="1" s="1"/>
  <c r="B51" i="1" l="1"/>
  <c r="B50" i="1" l="1"/>
  <c r="B49" i="1" l="1"/>
  <c r="B48" i="1" l="1"/>
  <c r="C51" i="1" l="1"/>
  <c r="D51" i="1" s="1"/>
  <c r="B47" i="1"/>
  <c r="B46" i="1" l="1"/>
  <c r="B45" i="1" l="1"/>
  <c r="B44" i="1" l="1"/>
  <c r="B43" i="1" l="1"/>
  <c r="C46" i="1" l="1"/>
  <c r="D46" i="1" s="1"/>
  <c r="B42" i="1" l="1"/>
  <c r="B41" i="1" l="1"/>
  <c r="B40" i="1" l="1"/>
  <c r="B39" i="1" l="1"/>
  <c r="B38" i="1" l="1"/>
  <c r="C42" i="1"/>
  <c r="D42" i="1" s="1"/>
  <c r="B37" i="1" l="1"/>
  <c r="B36" i="1" l="1"/>
  <c r="B35" i="1" l="1"/>
  <c r="B34" i="1" l="1"/>
  <c r="C37" i="1" s="1"/>
  <c r="D37" i="1" s="1"/>
  <c r="B33" i="1" l="1"/>
  <c r="B32" i="1" l="1"/>
  <c r="B31" i="1" l="1"/>
  <c r="B30" i="1" l="1"/>
  <c r="C33" i="1" s="1"/>
  <c r="D33" i="1" s="1"/>
  <c r="B29" i="1" l="1"/>
  <c r="B28" i="1" l="1"/>
  <c r="B27" i="1" l="1"/>
  <c r="B26" i="1" l="1"/>
  <c r="C29" i="1" s="1"/>
  <c r="D29" i="1" s="1"/>
  <c r="B25" i="1" l="1"/>
  <c r="B24" i="1" l="1"/>
  <c r="B23" i="1" l="1"/>
  <c r="B10" i="2" l="1"/>
  <c r="B9" i="2"/>
  <c r="B8" i="2"/>
  <c r="B7" i="2"/>
  <c r="C10" i="2" s="1"/>
  <c r="B6" i="2"/>
  <c r="B22" i="1" l="1"/>
  <c r="C25" i="1" s="1"/>
  <c r="D25" i="1" s="1"/>
  <c r="B21" i="1" l="1"/>
  <c r="B20" i="1"/>
  <c r="B19" i="1" l="1"/>
  <c r="B18" i="1" l="1"/>
  <c r="B17" i="1" l="1"/>
  <c r="C20" i="1" s="1"/>
  <c r="D20" i="1" s="1"/>
  <c r="B16" i="1" l="1"/>
  <c r="B15" i="1" l="1"/>
  <c r="B14" i="1" l="1"/>
  <c r="B13" i="1" l="1"/>
  <c r="C16" i="1" s="1"/>
  <c r="D16" i="1" s="1"/>
  <c r="B12" i="1" l="1"/>
  <c r="B11" i="1" l="1"/>
  <c r="B10" i="1" l="1"/>
  <c r="B9" i="1" l="1"/>
  <c r="C12" i="1" s="1"/>
  <c r="D12" i="1" s="1"/>
  <c r="B8" i="1" l="1"/>
  <c r="A9" i="1" l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5" i="1" l="1"/>
  <c r="A6" i="1" s="1"/>
  <c r="A7" i="1" s="1"/>
</calcChain>
</file>

<file path=xl/sharedStrings.xml><?xml version="1.0" encoding="utf-8"?>
<sst xmlns="http://schemas.openxmlformats.org/spreadsheetml/2006/main" count="45" uniqueCount="11">
  <si>
    <t>Week Ending</t>
  </si>
  <si>
    <t>Monthly Performance Price Index (MPPI)</t>
  </si>
  <si>
    <t>BPI =</t>
  </si>
  <si>
    <t>Average Selling Prices Asphalt Cement US$/ST</t>
  </si>
  <si>
    <t xml:space="preserve"> </t>
  </si>
  <si>
    <t xml:space="preserve">  </t>
  </si>
  <si>
    <t>Base Price Index (BPI)</t>
  </si>
  <si>
    <t>Monthly MPPI/BPI Ratio (Min = 0.4, Max = 1.6)</t>
  </si>
  <si>
    <t>Week Ending Saturday</t>
  </si>
  <si>
    <t>Project: 6982AF21C000003, CO FLAP US50(1) Little Blue Creek Canyon               Region: Rocky Mountain</t>
  </si>
  <si>
    <t>Project: 6982AF21C000003, CO FLAP US50(1) Little Blue Creek Canyon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</si>
</sst>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mm\ d\,\ yyyy"/>
    <numFmt numFmtId="165" formatCode="0.000"/>
    <numFmt numFmtId="166" formatCode="[$-409]mmmm\ d\,\ yyyy;@"/>
  </numFmts>
  <fonts count="3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0.249977111117893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0" xfId="0" applyAlignment="1">
      <alignment horizontal="center"/>
    </xf>
    <xf numFmtId="164" fontId="0" fillId="0" borderId="1" xfId="0" applyNumberFormat="1" applyBorder="1"/>
    <xf numFmtId="0" fontId="0" fillId="0" borderId="1" xfId="0" applyBorder="1"/>
    <xf numFmtId="0" fontId="0" fillId="2" borderId="1" xfId="0" applyFill="1" applyBorder="1"/>
    <xf numFmtId="2" fontId="0" fillId="0" borderId="1" xfId="0" applyNumberFormat="1" applyBorder="1"/>
    <xf numFmtId="2" fontId="2" fillId="0" borderId="5" xfId="0" applyNumberFormat="1" applyFont="1" applyBorder="1"/>
    <xf numFmtId="2" fontId="0" fillId="0" borderId="5" xfId="0" applyNumberFormat="1" applyBorder="1"/>
    <xf numFmtId="0" fontId="1" fillId="3" borderId="2" xfId="0" applyFont="1" applyFill="1" applyBorder="1" applyAlignment="1">
      <alignment horizontal="right" wrapText="1"/>
    </xf>
    <xf numFmtId="165" fontId="1" fillId="3" borderId="4" xfId="0" applyNumberFormat="1" applyFont="1" applyFill="1" applyBorder="1" applyAlignment="1">
      <alignment horizontal="left" wrapText="1"/>
    </xf>
    <xf numFmtId="2" fontId="2" fillId="0" borderId="3" xfId="0" applyNumberFormat="1" applyFont="1" applyBorder="1"/>
    <xf numFmtId="2" fontId="2" fillId="0" borderId="1" xfId="0" applyNumberFormat="1" applyFont="1" applyBorder="1"/>
    <xf numFmtId="166" fontId="0" fillId="0" borderId="3" xfId="0" applyNumberFormat="1" applyBorder="1"/>
    <xf numFmtId="0" fontId="0" fillId="2" borderId="3" xfId="0" applyFill="1" applyBorder="1"/>
    <xf numFmtId="166" fontId="0" fillId="0" borderId="1" xfId="0" applyNumberFormat="1" applyBorder="1"/>
    <xf numFmtId="164" fontId="0" fillId="0" borderId="5" xfId="0" applyNumberFormat="1" applyBorder="1"/>
    <xf numFmtId="166" fontId="0" fillId="0" borderId="5" xfId="0" applyNumberFormat="1" applyBorder="1"/>
    <xf numFmtId="164" fontId="0" fillId="0" borderId="3" xfId="0" applyNumberFormat="1" applyBorder="1"/>
    <xf numFmtId="2" fontId="0" fillId="0" borderId="4" xfId="0" applyNumberFormat="1" applyBorder="1"/>
    <xf numFmtId="0" fontId="1" fillId="4" borderId="10" xfId="0" applyFont="1" applyFill="1" applyBorder="1" applyAlignment="1">
      <alignment horizontal="centerContinuous" wrapText="1"/>
    </xf>
    <xf numFmtId="0" fontId="0" fillId="4" borderId="11" xfId="0" applyFill="1" applyBorder="1" applyAlignment="1">
      <alignment horizontal="centerContinuous" wrapText="1"/>
    </xf>
    <xf numFmtId="2" fontId="0" fillId="0" borderId="0" xfId="0" applyNumberFormat="1"/>
    <xf numFmtId="0" fontId="1" fillId="5" borderId="3" xfId="0" applyFont="1" applyFill="1" applyBorder="1" applyAlignment="1">
      <alignment horizontal="center" vertical="center"/>
    </xf>
    <xf numFmtId="0" fontId="1" fillId="5" borderId="14" xfId="0" applyFont="1" applyFill="1" applyBorder="1" applyAlignment="1">
      <alignment horizontal="center" wrapText="1"/>
    </xf>
    <xf numFmtId="0" fontId="1" fillId="5" borderId="13" xfId="0" applyFont="1" applyFill="1" applyBorder="1" applyAlignment="1">
      <alignment horizontal="center" vertical="center"/>
    </xf>
    <xf numFmtId="164" fontId="0" fillId="0" borderId="3" xfId="0" quotePrefix="1" applyNumberFormat="1" applyBorder="1"/>
    <xf numFmtId="164" fontId="0" fillId="0" borderId="1" xfId="0" quotePrefix="1" applyNumberFormat="1" applyBorder="1"/>
    <xf numFmtId="2" fontId="0" fillId="0" borderId="3" xfId="0" applyNumberFormat="1" applyBorder="1"/>
    <xf numFmtId="164" fontId="0" fillId="0" borderId="5" xfId="0" quotePrefix="1" applyNumberFormat="1" applyBorder="1"/>
    <xf numFmtId="165" fontId="0" fillId="2" borderId="7" xfId="0" applyNumberFormat="1" applyFill="1" applyBorder="1"/>
    <xf numFmtId="165" fontId="0" fillId="2" borderId="8" xfId="0" applyNumberFormat="1" applyFill="1" applyBorder="1"/>
    <xf numFmtId="0" fontId="0" fillId="2" borderId="6" xfId="0" applyFill="1" applyBorder="1"/>
    <xf numFmtId="0" fontId="0" fillId="2" borderId="9" xfId="0" applyFill="1" applyBorder="1"/>
    <xf numFmtId="165" fontId="0" fillId="0" borderId="2" xfId="0" applyNumberFormat="1" applyBorder="1"/>
    <xf numFmtId="165" fontId="0" fillId="0" borderId="4" xfId="0" applyNumberFormat="1" applyBorder="1"/>
    <xf numFmtId="0" fontId="0" fillId="2" borderId="15" xfId="0" applyFill="1" applyBorder="1"/>
    <xf numFmtId="165" fontId="0" fillId="2" borderId="0" xfId="0" applyNumberFormat="1" applyFill="1"/>
    <xf numFmtId="0" fontId="0" fillId="2" borderId="7" xfId="0" applyFill="1" applyBorder="1"/>
    <xf numFmtId="0" fontId="0" fillId="2" borderId="8" xfId="0" applyFill="1" applyBorder="1"/>
    <xf numFmtId="0" fontId="0" fillId="2" borderId="7" xfId="0" applyFill="1" applyBorder="1" applyAlignment="1"/>
    <xf numFmtId="0" fontId="0" fillId="2" borderId="8" xfId="0" applyFill="1" applyBorder="1" applyAlignment="1"/>
    <xf numFmtId="165" fontId="0" fillId="0" borderId="2" xfId="0" applyNumberFormat="1" applyBorder="1" applyAlignment="1"/>
    <xf numFmtId="165" fontId="0" fillId="0" borderId="4" xfId="0" applyNumberFormat="1" applyBorder="1" applyAlignment="1"/>
    <xf numFmtId="0" fontId="0" fillId="2" borderId="6" xfId="0" applyFill="1" applyBorder="1" applyAlignment="1"/>
    <xf numFmtId="0" fontId="0" fillId="2" borderId="9" xfId="0" applyFill="1" applyBorder="1" applyAlignment="1"/>
    <xf numFmtId="165" fontId="0" fillId="2" borderId="7" xfId="0" applyNumberFormat="1" applyFill="1" applyBorder="1" applyAlignment="1"/>
    <xf numFmtId="165" fontId="0" fillId="2" borderId="8" xfId="0" applyNumberFormat="1" applyFill="1" applyBorder="1" applyAlignment="1"/>
    <xf numFmtId="165" fontId="0" fillId="2" borderId="0" xfId="0" applyNumberFormat="1" applyFill="1" applyBorder="1" applyAlignment="1"/>
    <xf numFmtId="165" fontId="0" fillId="0" borderId="2" xfId="0" applyNumberFormat="1" applyFill="1" applyBorder="1" applyAlignment="1"/>
    <xf numFmtId="165" fontId="0" fillId="0" borderId="4" xfId="0" applyNumberFormat="1" applyFill="1" applyBorder="1" applyAlignment="1"/>
    <xf numFmtId="0" fontId="1" fillId="3" borderId="3" xfId="0" applyFont="1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wrapText="1"/>
    </xf>
    <xf numFmtId="0" fontId="0" fillId="3" borderId="9" xfId="0" applyFill="1" applyBorder="1" applyAlignment="1">
      <alignment horizontal="center" wrapText="1"/>
    </xf>
    <xf numFmtId="0" fontId="1" fillId="3" borderId="3" xfId="0" applyFont="1" applyFill="1" applyBorder="1" applyAlignment="1">
      <alignment horizontal="center" wrapText="1"/>
    </xf>
    <xf numFmtId="0" fontId="0" fillId="3" borderId="5" xfId="0" applyFill="1" applyBorder="1" applyAlignment="1">
      <alignment wrapText="1"/>
    </xf>
    <xf numFmtId="0" fontId="0" fillId="2" borderId="15" xfId="0" applyFill="1" applyBorder="1" applyAlignment="1"/>
    <xf numFmtId="0" fontId="1" fillId="4" borderId="10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16"/>
  <sheetViews>
    <sheetView tabSelected="1" zoomScaleNormal="100" workbookViewId="0">
      <pane ySplit="7" topLeftCell="A199" activePane="bottomLeft" state="frozen"/>
      <selection pane="bottomLeft" activeCell="F212" sqref="F212"/>
    </sheetView>
  </sheetViews>
  <sheetFormatPr defaultRowHeight="12.75" x14ac:dyDescent="0.2"/>
  <cols>
    <col min="1" max="1" width="22.7109375" customWidth="1"/>
    <col min="2" max="2" width="14.7109375" customWidth="1"/>
    <col min="3" max="3" width="18.28515625" customWidth="1"/>
    <col min="4" max="4" width="13.42578125" customWidth="1"/>
    <col min="5" max="5" width="8.7109375" customWidth="1"/>
    <col min="9" max="9" width="9.28515625" customWidth="1"/>
  </cols>
  <sheetData>
    <row r="1" spans="1:14" ht="45" customHeight="1" thickBot="1" x14ac:dyDescent="0.25">
      <c r="A1" s="57" t="s">
        <v>9</v>
      </c>
      <c r="B1" s="58"/>
      <c r="C1" s="58"/>
      <c r="D1" s="58"/>
      <c r="E1" s="59"/>
    </row>
    <row r="2" spans="1:14" ht="41.25" customHeight="1" x14ac:dyDescent="0.2">
      <c r="A2" s="50" t="s">
        <v>8</v>
      </c>
      <c r="B2" s="50" t="s">
        <v>3</v>
      </c>
      <c r="C2" s="54" t="s">
        <v>1</v>
      </c>
      <c r="D2" s="52" t="s">
        <v>7</v>
      </c>
      <c r="E2" s="53"/>
    </row>
    <row r="3" spans="1:14" ht="41.25" customHeight="1" thickBot="1" x14ac:dyDescent="0.25">
      <c r="A3" s="51"/>
      <c r="B3" s="51"/>
      <c r="C3" s="55"/>
      <c r="D3" s="8" t="s">
        <v>2</v>
      </c>
      <c r="E3" s="9">
        <v>394.17</v>
      </c>
      <c r="F3" s="1"/>
      <c r="G3" s="1"/>
      <c r="H3" s="1"/>
      <c r="I3" s="1"/>
      <c r="J3" s="1"/>
      <c r="K3" s="1"/>
      <c r="L3" s="1"/>
      <c r="M3" s="1"/>
      <c r="N3" s="1"/>
    </row>
    <row r="4" spans="1:14" ht="13.5" hidden="1" thickBot="1" x14ac:dyDescent="0.25">
      <c r="A4" s="2">
        <v>38779</v>
      </c>
      <c r="B4" s="3"/>
      <c r="C4" s="4"/>
      <c r="D4" s="43"/>
      <c r="E4" s="44"/>
    </row>
    <row r="5" spans="1:14" ht="13.5" hidden="1" thickBot="1" x14ac:dyDescent="0.25">
      <c r="A5" s="2">
        <f t="shared" ref="A5:A7" si="0">A4+7</f>
        <v>38786</v>
      </c>
      <c r="B5" s="3"/>
      <c r="C5" s="4"/>
      <c r="D5" s="39"/>
      <c r="E5" s="40"/>
    </row>
    <row r="6" spans="1:14" ht="13.5" hidden="1" thickBot="1" x14ac:dyDescent="0.25">
      <c r="A6" s="2">
        <f t="shared" si="0"/>
        <v>38793</v>
      </c>
      <c r="B6" s="3"/>
      <c r="C6" s="4"/>
      <c r="D6" s="39"/>
      <c r="E6" s="40"/>
    </row>
    <row r="7" spans="1:14" ht="13.5" hidden="1" thickBot="1" x14ac:dyDescent="0.25">
      <c r="A7" s="2">
        <f t="shared" si="0"/>
        <v>38800</v>
      </c>
      <c r="B7" s="3"/>
      <c r="C7" s="4"/>
      <c r="D7" s="39"/>
      <c r="E7" s="40"/>
    </row>
    <row r="8" spans="1:14" x14ac:dyDescent="0.2">
      <c r="A8" s="17">
        <v>44107</v>
      </c>
      <c r="B8" s="10">
        <f t="shared" ref="B8:B14" si="1">(320+380+390+445+380+450)/6</f>
        <v>394.16666666666669</v>
      </c>
      <c r="C8" s="13"/>
      <c r="D8" s="43"/>
      <c r="E8" s="44"/>
    </row>
    <row r="9" spans="1:14" x14ac:dyDescent="0.2">
      <c r="A9" s="2">
        <f t="shared" ref="A9:A23" si="2">A8+7</f>
        <v>44114</v>
      </c>
      <c r="B9" s="11">
        <f t="shared" si="1"/>
        <v>394.16666666666669</v>
      </c>
      <c r="C9" s="4"/>
      <c r="D9" s="39"/>
      <c r="E9" s="40"/>
    </row>
    <row r="10" spans="1:14" x14ac:dyDescent="0.2">
      <c r="A10" s="2">
        <f t="shared" si="2"/>
        <v>44121</v>
      </c>
      <c r="B10" s="11">
        <f t="shared" si="1"/>
        <v>394.16666666666669</v>
      </c>
      <c r="C10" s="4"/>
      <c r="D10" s="39"/>
      <c r="E10" s="40"/>
    </row>
    <row r="11" spans="1:14" x14ac:dyDescent="0.2">
      <c r="A11" s="2">
        <f t="shared" si="2"/>
        <v>44128</v>
      </c>
      <c r="B11" s="11">
        <f t="shared" si="1"/>
        <v>394.16666666666669</v>
      </c>
      <c r="C11" s="4"/>
      <c r="D11" s="39"/>
      <c r="E11" s="40"/>
    </row>
    <row r="12" spans="1:14" ht="13.5" thickBot="1" x14ac:dyDescent="0.25">
      <c r="A12" s="15">
        <f t="shared" si="2"/>
        <v>44135</v>
      </c>
      <c r="B12" s="6">
        <f t="shared" si="1"/>
        <v>394.16666666666669</v>
      </c>
      <c r="C12" s="18">
        <f>SUM(B9:B12)/COUNTA(B9:B12)</f>
        <v>394.16666666666669</v>
      </c>
      <c r="D12" s="41">
        <f>C12/E$3</f>
        <v>0.999991543411895</v>
      </c>
      <c r="E12" s="42"/>
    </row>
    <row r="13" spans="1:14" x14ac:dyDescent="0.2">
      <c r="A13" s="12">
        <f t="shared" si="2"/>
        <v>44142</v>
      </c>
      <c r="B13" s="11">
        <f t="shared" si="1"/>
        <v>394.16666666666669</v>
      </c>
      <c r="C13" s="13"/>
      <c r="D13" s="43"/>
      <c r="E13" s="44"/>
    </row>
    <row r="14" spans="1:14" x14ac:dyDescent="0.2">
      <c r="A14" s="14">
        <f t="shared" si="2"/>
        <v>44149</v>
      </c>
      <c r="B14" s="11">
        <f t="shared" si="1"/>
        <v>394.16666666666669</v>
      </c>
      <c r="C14" s="4"/>
      <c r="D14" s="45"/>
      <c r="E14" s="46"/>
    </row>
    <row r="15" spans="1:14" x14ac:dyDescent="0.2">
      <c r="A15" s="14">
        <f t="shared" si="2"/>
        <v>44156</v>
      </c>
      <c r="B15" s="11">
        <f>(330+380+390+445+375+450)/6</f>
        <v>395</v>
      </c>
      <c r="C15" s="4"/>
      <c r="D15" s="47"/>
      <c r="E15" s="46"/>
    </row>
    <row r="16" spans="1:14" ht="13.5" thickBot="1" x14ac:dyDescent="0.25">
      <c r="A16" s="16">
        <f t="shared" si="2"/>
        <v>44163</v>
      </c>
      <c r="B16" s="6">
        <f>(330+380+390+445+375+450)/6</f>
        <v>395</v>
      </c>
      <c r="C16" s="7">
        <f>SUM(B13:B16)/COUNTA(B13:B16)</f>
        <v>394.58333333333337</v>
      </c>
      <c r="D16" s="48">
        <f>C16/E$3</f>
        <v>1.0010486169250155</v>
      </c>
      <c r="E16" s="49"/>
    </row>
    <row r="17" spans="1:5" x14ac:dyDescent="0.2">
      <c r="A17" s="12">
        <f t="shared" si="2"/>
        <v>44170</v>
      </c>
      <c r="B17" s="11">
        <f>(330+380+390+445+375+450)/6</f>
        <v>395</v>
      </c>
      <c r="C17" s="13"/>
      <c r="D17" s="43"/>
      <c r="E17" s="44"/>
    </row>
    <row r="18" spans="1:5" x14ac:dyDescent="0.2">
      <c r="A18" s="14">
        <f t="shared" si="2"/>
        <v>44177</v>
      </c>
      <c r="B18" s="11">
        <f>(330+380+390+445+375+450)/6</f>
        <v>395</v>
      </c>
      <c r="C18" s="4"/>
      <c r="D18" s="45"/>
      <c r="E18" s="46"/>
    </row>
    <row r="19" spans="1:5" x14ac:dyDescent="0.2">
      <c r="A19" s="14">
        <f t="shared" si="2"/>
        <v>44184</v>
      </c>
      <c r="B19" s="11">
        <f>(330+380+410+445+375+450)/6</f>
        <v>398.33333333333331</v>
      </c>
      <c r="C19" s="4"/>
      <c r="D19" s="47"/>
      <c r="E19" s="46"/>
    </row>
    <row r="20" spans="1:5" ht="13.5" thickBot="1" x14ac:dyDescent="0.25">
      <c r="A20" s="16">
        <f t="shared" si="2"/>
        <v>44191</v>
      </c>
      <c r="B20" s="6">
        <f t="shared" ref="B20:B24" si="3">(330+380+410+445+375+450)/6</f>
        <v>398.33333333333331</v>
      </c>
      <c r="C20" s="7">
        <f>SUM(B17:B20)/COUNTA(B17:B20)</f>
        <v>396.66666666666663</v>
      </c>
      <c r="D20" s="48">
        <f>C20/E$3</f>
        <v>1.0063339844906172</v>
      </c>
      <c r="E20" s="49"/>
    </row>
    <row r="21" spans="1:5" x14ac:dyDescent="0.2">
      <c r="A21" s="17">
        <f t="shared" si="2"/>
        <v>44198</v>
      </c>
      <c r="B21" s="10">
        <f t="shared" si="3"/>
        <v>398.33333333333331</v>
      </c>
      <c r="C21" s="13"/>
      <c r="D21" s="43"/>
      <c r="E21" s="44"/>
    </row>
    <row r="22" spans="1:5" x14ac:dyDescent="0.2">
      <c r="A22" s="2">
        <f t="shared" si="2"/>
        <v>44205</v>
      </c>
      <c r="B22" s="11">
        <f t="shared" si="3"/>
        <v>398.33333333333331</v>
      </c>
      <c r="C22" s="4"/>
      <c r="D22" s="39"/>
      <c r="E22" s="40"/>
    </row>
    <row r="23" spans="1:5" x14ac:dyDescent="0.2">
      <c r="A23" s="2">
        <f t="shared" si="2"/>
        <v>44212</v>
      </c>
      <c r="B23" s="11">
        <f t="shared" si="3"/>
        <v>398.33333333333331</v>
      </c>
      <c r="C23" s="4"/>
      <c r="D23" s="39"/>
      <c r="E23" s="40"/>
    </row>
    <row r="24" spans="1:5" x14ac:dyDescent="0.2">
      <c r="A24" s="2">
        <f t="shared" ref="A24:A87" si="4">A23+7</f>
        <v>44219</v>
      </c>
      <c r="B24" s="11">
        <f t="shared" si="3"/>
        <v>398.33333333333331</v>
      </c>
      <c r="C24" s="4"/>
      <c r="D24" s="39"/>
      <c r="E24" s="40"/>
    </row>
    <row r="25" spans="1:5" ht="13.5" thickBot="1" x14ac:dyDescent="0.25">
      <c r="A25" s="15">
        <f t="shared" si="4"/>
        <v>44226</v>
      </c>
      <c r="B25" s="6">
        <f>(340+380+410+445+375+450)/6</f>
        <v>400</v>
      </c>
      <c r="C25" s="18">
        <f>SUM(B22:B25)/COUNTA(B22:B25)</f>
        <v>398.75</v>
      </c>
      <c r="D25" s="41">
        <f>C25/E$3</f>
        <v>1.0116193520562193</v>
      </c>
      <c r="E25" s="42"/>
    </row>
    <row r="26" spans="1:5" x14ac:dyDescent="0.2">
      <c r="A26" s="12">
        <f t="shared" si="4"/>
        <v>44233</v>
      </c>
      <c r="B26" s="11">
        <f>(350+380+410+445+380+470)/6</f>
        <v>405.83333333333331</v>
      </c>
      <c r="C26" s="13"/>
      <c r="D26" s="43"/>
      <c r="E26" s="44"/>
    </row>
    <row r="27" spans="1:5" x14ac:dyDescent="0.2">
      <c r="A27" s="14">
        <f t="shared" si="4"/>
        <v>44240</v>
      </c>
      <c r="B27" s="11">
        <f>(350+380+410+470+390+470)/6</f>
        <v>411.66666666666669</v>
      </c>
      <c r="C27" s="4"/>
      <c r="D27" s="45"/>
      <c r="E27" s="46"/>
    </row>
    <row r="28" spans="1:5" x14ac:dyDescent="0.2">
      <c r="A28" s="14">
        <f t="shared" si="4"/>
        <v>44247</v>
      </c>
      <c r="B28" s="11">
        <f>(350+380+410+470+400+470)/6</f>
        <v>413.33333333333331</v>
      </c>
      <c r="C28" s="4"/>
      <c r="D28" s="47"/>
      <c r="E28" s="46"/>
    </row>
    <row r="29" spans="1:5" ht="13.5" thickBot="1" x14ac:dyDescent="0.25">
      <c r="A29" s="16">
        <f t="shared" si="4"/>
        <v>44254</v>
      </c>
      <c r="B29" s="6">
        <f>(350+380+410+470+400+470)/6</f>
        <v>413.33333333333331</v>
      </c>
      <c r="C29" s="7">
        <f>SUM(B26:B29)/COUNTA(B26:B29)</f>
        <v>411.04166666666663</v>
      </c>
      <c r="D29" s="48">
        <f>C29/E$3</f>
        <v>1.042803020693271</v>
      </c>
      <c r="E29" s="49"/>
    </row>
    <row r="30" spans="1:5" x14ac:dyDescent="0.2">
      <c r="A30" s="12">
        <f t="shared" si="4"/>
        <v>44261</v>
      </c>
      <c r="B30" s="11">
        <f>(350+390+410+485+400+480)/6</f>
        <v>419.16666666666669</v>
      </c>
      <c r="C30" s="13"/>
      <c r="D30" s="43"/>
      <c r="E30" s="44"/>
    </row>
    <row r="31" spans="1:5" x14ac:dyDescent="0.2">
      <c r="A31" s="14">
        <f t="shared" si="4"/>
        <v>44268</v>
      </c>
      <c r="B31" s="11">
        <f>(350+390+410+485+400+480)/6</f>
        <v>419.16666666666669</v>
      </c>
      <c r="C31" s="4"/>
      <c r="D31" s="45"/>
      <c r="E31" s="46"/>
    </row>
    <row r="32" spans="1:5" x14ac:dyDescent="0.2">
      <c r="A32" s="14">
        <f t="shared" si="4"/>
        <v>44275</v>
      </c>
      <c r="B32" s="11">
        <f>(350+390+420+485+400+490)/6</f>
        <v>422.5</v>
      </c>
      <c r="C32" s="4"/>
      <c r="D32" s="47"/>
      <c r="E32" s="46"/>
    </row>
    <row r="33" spans="1:5" ht="13.5" thickBot="1" x14ac:dyDescent="0.25">
      <c r="A33" s="16">
        <f t="shared" si="4"/>
        <v>44282</v>
      </c>
      <c r="B33" s="6">
        <f>(350+390+420+485+400+490)/6</f>
        <v>422.5</v>
      </c>
      <c r="C33" s="7">
        <f>SUM(B30:B33)/COUNTA(B30:B33)</f>
        <v>420.83333333333337</v>
      </c>
      <c r="D33" s="48">
        <f>C33/E$3</f>
        <v>1.0676442482516004</v>
      </c>
      <c r="E33" s="49"/>
    </row>
    <row r="34" spans="1:5" x14ac:dyDescent="0.2">
      <c r="A34" s="12">
        <f t="shared" si="4"/>
        <v>44289</v>
      </c>
      <c r="B34" s="11">
        <f>(360+400+420+500+425+510)/6</f>
        <v>435.83333333333331</v>
      </c>
      <c r="C34" s="13"/>
      <c r="D34" s="43"/>
      <c r="E34" s="44"/>
    </row>
    <row r="35" spans="1:5" x14ac:dyDescent="0.2">
      <c r="A35" s="14">
        <f t="shared" si="4"/>
        <v>44296</v>
      </c>
      <c r="B35" s="11">
        <f>(360+400+420+510+435+510)/6</f>
        <v>439.16666666666669</v>
      </c>
      <c r="C35" s="4"/>
      <c r="D35" s="45"/>
      <c r="E35" s="46"/>
    </row>
    <row r="36" spans="1:5" x14ac:dyDescent="0.2">
      <c r="A36" s="14">
        <f t="shared" si="4"/>
        <v>44303</v>
      </c>
      <c r="B36" s="11">
        <f>(360+400+420+510+435+510)/6</f>
        <v>439.16666666666669</v>
      </c>
      <c r="C36" s="4"/>
      <c r="D36" s="47"/>
      <c r="E36" s="46"/>
    </row>
    <row r="37" spans="1:5" ht="13.5" thickBot="1" x14ac:dyDescent="0.25">
      <c r="A37" s="16">
        <f t="shared" si="4"/>
        <v>44310</v>
      </c>
      <c r="B37" s="6">
        <f>(360+420+420+510+435+510)/6</f>
        <v>442.5</v>
      </c>
      <c r="C37" s="7">
        <f>SUM(B34:B37)/COUNTA(B34:B37)</f>
        <v>439.16666666666669</v>
      </c>
      <c r="D37" s="48">
        <f>C37/E$3</f>
        <v>1.1141554828288978</v>
      </c>
      <c r="E37" s="49"/>
    </row>
    <row r="38" spans="1:5" x14ac:dyDescent="0.2">
      <c r="A38" s="17">
        <f t="shared" si="4"/>
        <v>44317</v>
      </c>
      <c r="B38" s="10">
        <f>(360+420+420+510+435+510)/6</f>
        <v>442.5</v>
      </c>
      <c r="C38" s="13"/>
      <c r="D38" s="43"/>
      <c r="E38" s="44"/>
    </row>
    <row r="39" spans="1:5" x14ac:dyDescent="0.2">
      <c r="A39" s="2">
        <f t="shared" si="4"/>
        <v>44324</v>
      </c>
      <c r="B39" s="11">
        <f>(360+430+430+510+435+510)/6</f>
        <v>445.83333333333331</v>
      </c>
      <c r="C39" s="4"/>
      <c r="D39" s="39"/>
      <c r="E39" s="40"/>
    </row>
    <row r="40" spans="1:5" x14ac:dyDescent="0.2">
      <c r="A40" s="2">
        <f t="shared" si="4"/>
        <v>44331</v>
      </c>
      <c r="B40" s="11">
        <f>(370+430+430+510+435+510)/6</f>
        <v>447.5</v>
      </c>
      <c r="C40" s="4"/>
      <c r="D40" s="39"/>
      <c r="E40" s="40"/>
    </row>
    <row r="41" spans="1:5" x14ac:dyDescent="0.2">
      <c r="A41" s="2">
        <f t="shared" si="4"/>
        <v>44338</v>
      </c>
      <c r="B41" s="11">
        <f>(370+430+430+510+435+510)/6</f>
        <v>447.5</v>
      </c>
      <c r="C41" s="4"/>
      <c r="D41" s="39"/>
      <c r="E41" s="40"/>
    </row>
    <row r="42" spans="1:5" ht="13.5" thickBot="1" x14ac:dyDescent="0.25">
      <c r="A42" s="15">
        <f t="shared" si="4"/>
        <v>44345</v>
      </c>
      <c r="B42" s="6">
        <f>(370+430+430+510+435+510)/6</f>
        <v>447.5</v>
      </c>
      <c r="C42" s="18">
        <f>SUM(B39:B42)/COUNTA(B39:B42)</f>
        <v>447.08333333333331</v>
      </c>
      <c r="D42" s="41">
        <f>C42/E$3</f>
        <v>1.1342398795781854</v>
      </c>
      <c r="E42" s="42"/>
    </row>
    <row r="43" spans="1:5" x14ac:dyDescent="0.2">
      <c r="A43" s="12">
        <f t="shared" si="4"/>
        <v>44352</v>
      </c>
      <c r="B43" s="5">
        <f>(370+430+440+510+450+510)/6</f>
        <v>451.66666666666669</v>
      </c>
      <c r="C43" s="13"/>
      <c r="D43" s="56"/>
      <c r="E43" s="44"/>
    </row>
    <row r="44" spans="1:5" x14ac:dyDescent="0.2">
      <c r="A44" s="14">
        <f t="shared" si="4"/>
        <v>44359</v>
      </c>
      <c r="B44" s="21">
        <f>(370+430+440+510+450+510)/6</f>
        <v>451.66666666666669</v>
      </c>
      <c r="C44" s="4"/>
      <c r="D44" s="47"/>
      <c r="E44" s="46"/>
    </row>
    <row r="45" spans="1:5" x14ac:dyDescent="0.2">
      <c r="A45" s="14">
        <f t="shared" si="4"/>
        <v>44366</v>
      </c>
      <c r="B45" s="5">
        <f>(370+430+440+510+450+510)/6</f>
        <v>451.66666666666669</v>
      </c>
      <c r="C45" s="4"/>
      <c r="D45" s="47"/>
      <c r="E45" s="46"/>
    </row>
    <row r="46" spans="1:5" ht="13.5" thickBot="1" x14ac:dyDescent="0.25">
      <c r="A46" s="16">
        <f t="shared" si="4"/>
        <v>44373</v>
      </c>
      <c r="B46" s="7">
        <f>(370+430+440+510+450+510)/6</f>
        <v>451.66666666666669</v>
      </c>
      <c r="C46" s="7">
        <f>SUM(B43:B46)/COUNTA(B43:B46)</f>
        <v>451.66666666666669</v>
      </c>
      <c r="D46" s="48">
        <f>C46/E$3</f>
        <v>1.1458676882225098</v>
      </c>
      <c r="E46" s="49"/>
    </row>
    <row r="47" spans="1:5" x14ac:dyDescent="0.2">
      <c r="A47" s="17">
        <f t="shared" si="4"/>
        <v>44380</v>
      </c>
      <c r="B47" s="10">
        <f>(380+480+440+520+460+520)/6</f>
        <v>466.66666666666669</v>
      </c>
      <c r="C47" s="13"/>
      <c r="D47" s="43"/>
      <c r="E47" s="44"/>
    </row>
    <row r="48" spans="1:5" x14ac:dyDescent="0.2">
      <c r="A48" s="2">
        <f t="shared" si="4"/>
        <v>44387</v>
      </c>
      <c r="B48" s="11">
        <f>(390+450+440+520+460+520)/6</f>
        <v>463.33333333333331</v>
      </c>
      <c r="C48" s="4"/>
      <c r="D48" s="39"/>
      <c r="E48" s="40"/>
    </row>
    <row r="49" spans="1:5" x14ac:dyDescent="0.2">
      <c r="A49" s="2">
        <f t="shared" si="4"/>
        <v>44394</v>
      </c>
      <c r="B49" s="11">
        <f>(400+450+440+520+460+520)/6</f>
        <v>465</v>
      </c>
      <c r="C49" s="4"/>
      <c r="D49" s="39"/>
      <c r="E49" s="40"/>
    </row>
    <row r="50" spans="1:5" x14ac:dyDescent="0.2">
      <c r="A50" s="2">
        <f t="shared" si="4"/>
        <v>44401</v>
      </c>
      <c r="B50" s="11">
        <f>(400+450+450+520+460+520)/6</f>
        <v>466.66666666666669</v>
      </c>
      <c r="C50" s="4"/>
      <c r="D50" s="39"/>
      <c r="E50" s="40"/>
    </row>
    <row r="51" spans="1:5" ht="13.5" thickBot="1" x14ac:dyDescent="0.25">
      <c r="A51" s="15">
        <f t="shared" si="4"/>
        <v>44408</v>
      </c>
      <c r="B51" s="6">
        <f>(400+450+450+520+460+520)/6</f>
        <v>466.66666666666669</v>
      </c>
      <c r="C51" s="18">
        <f>SUM(B48:B51)/COUNTA(B48:B51)</f>
        <v>465.41666666666669</v>
      </c>
      <c r="D51" s="41">
        <f>C51/E$3</f>
        <v>1.1807511141554827</v>
      </c>
      <c r="E51" s="42"/>
    </row>
    <row r="52" spans="1:5" x14ac:dyDescent="0.2">
      <c r="A52" s="12">
        <f t="shared" si="4"/>
        <v>44415</v>
      </c>
      <c r="B52" s="5">
        <f>(400+450+450+530+460+530)/6</f>
        <v>470</v>
      </c>
      <c r="C52" s="13"/>
      <c r="D52" s="35"/>
      <c r="E52" s="32"/>
    </row>
    <row r="53" spans="1:5" x14ac:dyDescent="0.2">
      <c r="A53" s="14">
        <f t="shared" si="4"/>
        <v>44422</v>
      </c>
      <c r="B53" s="21">
        <f>(400+450+450+540+460+530)/6</f>
        <v>471.66666666666669</v>
      </c>
      <c r="C53" s="4"/>
      <c r="D53" s="36"/>
      <c r="E53" s="30"/>
    </row>
    <row r="54" spans="1:5" x14ac:dyDescent="0.2">
      <c r="A54" s="14">
        <f t="shared" si="4"/>
        <v>44429</v>
      </c>
      <c r="B54" s="5">
        <f>(400+450+450+540+460+530)/6</f>
        <v>471.66666666666669</v>
      </c>
      <c r="C54" s="4"/>
      <c r="D54" s="36"/>
      <c r="E54" s="30"/>
    </row>
    <row r="55" spans="1:5" ht="13.5" thickBot="1" x14ac:dyDescent="0.25">
      <c r="A55" s="16">
        <f t="shared" si="4"/>
        <v>44436</v>
      </c>
      <c r="B55" s="7">
        <f>(400+450+450+540+460+530)/6</f>
        <v>471.66666666666669</v>
      </c>
      <c r="C55" s="7">
        <f>SUM(B52:B55)/COUNTA(B52:B55)</f>
        <v>471.25000000000006</v>
      </c>
      <c r="D55" s="33">
        <f>C55/E$3</f>
        <v>1.1955501433391684</v>
      </c>
      <c r="E55" s="34"/>
    </row>
    <row r="56" spans="1:5" x14ac:dyDescent="0.2">
      <c r="A56" s="12">
        <f t="shared" si="4"/>
        <v>44443</v>
      </c>
      <c r="B56" s="5">
        <f>(420+460+465+540+460+530)/6</f>
        <v>479.16666666666669</v>
      </c>
      <c r="C56" s="13"/>
      <c r="D56" s="35"/>
      <c r="E56" s="32"/>
    </row>
    <row r="57" spans="1:5" x14ac:dyDescent="0.2">
      <c r="A57" s="14">
        <f t="shared" si="4"/>
        <v>44450</v>
      </c>
      <c r="B57" s="21">
        <f t="shared" ref="B57:B64" si="5">(420+460+465+550+480+530)/6</f>
        <v>484.16666666666669</v>
      </c>
      <c r="C57" s="4"/>
      <c r="D57" s="36"/>
      <c r="E57" s="30"/>
    </row>
    <row r="58" spans="1:5" x14ac:dyDescent="0.2">
      <c r="A58" s="14">
        <f t="shared" si="4"/>
        <v>44457</v>
      </c>
      <c r="B58" s="5">
        <f t="shared" si="5"/>
        <v>484.16666666666669</v>
      </c>
      <c r="C58" s="4"/>
      <c r="D58" s="36"/>
      <c r="E58" s="30"/>
    </row>
    <row r="59" spans="1:5" ht="13.5" thickBot="1" x14ac:dyDescent="0.25">
      <c r="A59" s="16">
        <f t="shared" si="4"/>
        <v>44464</v>
      </c>
      <c r="B59" s="7">
        <f t="shared" si="5"/>
        <v>484.16666666666669</v>
      </c>
      <c r="C59" s="7">
        <f>SUM(B56:B59)/COUNTA(B56:B59)</f>
        <v>482.91666666666669</v>
      </c>
      <c r="D59" s="33">
        <f>C59/E$3</f>
        <v>1.2251482017065394</v>
      </c>
      <c r="E59" s="34"/>
    </row>
    <row r="60" spans="1:5" x14ac:dyDescent="0.2">
      <c r="A60" s="17">
        <f t="shared" si="4"/>
        <v>44471</v>
      </c>
      <c r="B60" s="10">
        <f t="shared" si="5"/>
        <v>484.16666666666669</v>
      </c>
      <c r="C60" s="13"/>
      <c r="D60" s="43"/>
      <c r="E60" s="44"/>
    </row>
    <row r="61" spans="1:5" x14ac:dyDescent="0.2">
      <c r="A61" s="2">
        <f t="shared" si="4"/>
        <v>44478</v>
      </c>
      <c r="B61" s="11">
        <f t="shared" si="5"/>
        <v>484.16666666666669</v>
      </c>
      <c r="C61" s="4"/>
      <c r="D61" s="39"/>
      <c r="E61" s="40"/>
    </row>
    <row r="62" spans="1:5" x14ac:dyDescent="0.2">
      <c r="A62" s="2">
        <f t="shared" si="4"/>
        <v>44485</v>
      </c>
      <c r="B62" s="11">
        <f t="shared" si="5"/>
        <v>484.16666666666669</v>
      </c>
      <c r="C62" s="4"/>
      <c r="D62" s="39"/>
      <c r="E62" s="40"/>
    </row>
    <row r="63" spans="1:5" x14ac:dyDescent="0.2">
      <c r="A63" s="2">
        <f t="shared" si="4"/>
        <v>44492</v>
      </c>
      <c r="B63" s="11">
        <f t="shared" si="5"/>
        <v>484.16666666666669</v>
      </c>
      <c r="C63" s="4"/>
      <c r="D63" s="39"/>
      <c r="E63" s="40"/>
    </row>
    <row r="64" spans="1:5" ht="13.5" thickBot="1" x14ac:dyDescent="0.25">
      <c r="A64" s="15">
        <f t="shared" si="4"/>
        <v>44499</v>
      </c>
      <c r="B64" s="6">
        <f t="shared" si="5"/>
        <v>484.16666666666669</v>
      </c>
      <c r="C64" s="18">
        <f>SUM(B61:B64)/COUNTA(B61:B64)</f>
        <v>484.16666666666669</v>
      </c>
      <c r="D64" s="41">
        <f>C64/E$3</f>
        <v>1.2283194222459006</v>
      </c>
      <c r="E64" s="42"/>
    </row>
    <row r="65" spans="1:5" x14ac:dyDescent="0.2">
      <c r="A65" s="12">
        <f t="shared" si="4"/>
        <v>44506</v>
      </c>
      <c r="B65" s="5">
        <f>(420+460+465+560+490+540)/6</f>
        <v>489.16666666666669</v>
      </c>
      <c r="C65" s="13"/>
      <c r="D65" s="35"/>
      <c r="E65" s="32"/>
    </row>
    <row r="66" spans="1:5" x14ac:dyDescent="0.2">
      <c r="A66" s="14">
        <f t="shared" si="4"/>
        <v>44513</v>
      </c>
      <c r="B66" s="21">
        <f>(420+460+465+560+490+540)/6</f>
        <v>489.16666666666669</v>
      </c>
      <c r="C66" s="4"/>
      <c r="D66" s="36"/>
      <c r="E66" s="30"/>
    </row>
    <row r="67" spans="1:5" x14ac:dyDescent="0.2">
      <c r="A67" s="14">
        <f t="shared" si="4"/>
        <v>44520</v>
      </c>
      <c r="B67" s="21">
        <f>(420+460+465+560+490+540)/6</f>
        <v>489.16666666666669</v>
      </c>
      <c r="C67" s="4"/>
      <c r="D67" s="36"/>
      <c r="E67" s="30"/>
    </row>
    <row r="68" spans="1:5" ht="13.5" thickBot="1" x14ac:dyDescent="0.25">
      <c r="A68" s="16">
        <f t="shared" si="4"/>
        <v>44527</v>
      </c>
      <c r="B68" s="7">
        <f t="shared" ref="B68:B77" si="6">(420+460+480+560+490+540)/6</f>
        <v>491.66666666666669</v>
      </c>
      <c r="C68" s="7">
        <f>SUM(B65:B68)/COUNTA(B65:B68)</f>
        <v>489.79166666666669</v>
      </c>
      <c r="D68" s="33">
        <f>C68/E$3</f>
        <v>1.2425899146730259</v>
      </c>
      <c r="E68" s="34"/>
    </row>
    <row r="69" spans="1:5" x14ac:dyDescent="0.2">
      <c r="A69" s="12">
        <f t="shared" si="4"/>
        <v>44534</v>
      </c>
      <c r="B69" s="5">
        <f t="shared" si="6"/>
        <v>491.66666666666669</v>
      </c>
      <c r="C69" s="13"/>
      <c r="D69" s="35"/>
      <c r="E69" s="32"/>
    </row>
    <row r="70" spans="1:5" x14ac:dyDescent="0.2">
      <c r="A70" s="14">
        <f t="shared" si="4"/>
        <v>44541</v>
      </c>
      <c r="B70" s="5">
        <f t="shared" si="6"/>
        <v>491.66666666666669</v>
      </c>
      <c r="C70" s="4"/>
      <c r="D70" s="36"/>
      <c r="E70" s="30"/>
    </row>
    <row r="71" spans="1:5" x14ac:dyDescent="0.2">
      <c r="A71" s="14">
        <f t="shared" si="4"/>
        <v>44548</v>
      </c>
      <c r="B71" s="5">
        <f t="shared" si="6"/>
        <v>491.66666666666669</v>
      </c>
      <c r="C71" s="4"/>
      <c r="D71" s="36"/>
      <c r="E71" s="30"/>
    </row>
    <row r="72" spans="1:5" ht="13.5" thickBot="1" x14ac:dyDescent="0.25">
      <c r="A72" s="16">
        <f t="shared" si="4"/>
        <v>44555</v>
      </c>
      <c r="B72" s="7">
        <f t="shared" si="6"/>
        <v>491.66666666666669</v>
      </c>
      <c r="C72" s="7">
        <f>SUM(B69:B72)/COUNTA(B69:B72)</f>
        <v>491.66666666666669</v>
      </c>
      <c r="D72" s="33">
        <f>C72/E$3</f>
        <v>1.2473467454820677</v>
      </c>
      <c r="E72" s="34"/>
    </row>
    <row r="73" spans="1:5" x14ac:dyDescent="0.2">
      <c r="A73" s="17">
        <f t="shared" si="4"/>
        <v>44562</v>
      </c>
      <c r="B73" s="5">
        <f t="shared" si="6"/>
        <v>491.66666666666669</v>
      </c>
      <c r="C73" s="13"/>
      <c r="D73" s="31"/>
      <c r="E73" s="32"/>
    </row>
    <row r="74" spans="1:5" x14ac:dyDescent="0.2">
      <c r="A74" s="2">
        <f t="shared" si="4"/>
        <v>44569</v>
      </c>
      <c r="B74" s="5">
        <f t="shared" si="6"/>
        <v>491.66666666666669</v>
      </c>
      <c r="C74" s="4"/>
      <c r="D74" s="37"/>
      <c r="E74" s="38"/>
    </row>
    <row r="75" spans="1:5" x14ac:dyDescent="0.2">
      <c r="A75" s="2">
        <f t="shared" si="4"/>
        <v>44576</v>
      </c>
      <c r="B75" s="5">
        <f t="shared" si="6"/>
        <v>491.66666666666669</v>
      </c>
      <c r="C75" s="4"/>
      <c r="D75" s="37"/>
      <c r="E75" s="38"/>
    </row>
    <row r="76" spans="1:5" x14ac:dyDescent="0.2">
      <c r="A76" s="2">
        <f t="shared" si="4"/>
        <v>44583</v>
      </c>
      <c r="B76" s="5">
        <f t="shared" si="6"/>
        <v>491.66666666666669</v>
      </c>
      <c r="C76" s="4"/>
      <c r="D76" s="37"/>
      <c r="E76" s="38"/>
    </row>
    <row r="77" spans="1:5" ht="13.5" thickBot="1" x14ac:dyDescent="0.25">
      <c r="A77" s="15">
        <f t="shared" si="4"/>
        <v>44590</v>
      </c>
      <c r="B77" s="7">
        <f t="shared" si="6"/>
        <v>491.66666666666669</v>
      </c>
      <c r="C77" s="7">
        <f>SUM(B74:B77)/COUNTA(B74:B77)</f>
        <v>491.66666666666669</v>
      </c>
      <c r="D77" s="33">
        <f>C77/E$3</f>
        <v>1.2473467454820677</v>
      </c>
      <c r="E77" s="34"/>
    </row>
    <row r="78" spans="1:5" x14ac:dyDescent="0.2">
      <c r="A78" s="12">
        <f t="shared" si="4"/>
        <v>44597</v>
      </c>
      <c r="B78" s="5">
        <f>(440+480+490+575+510+575)/6</f>
        <v>511.66666666666669</v>
      </c>
      <c r="C78" s="13"/>
      <c r="D78" s="35"/>
      <c r="E78" s="32"/>
    </row>
    <row r="79" spans="1:5" x14ac:dyDescent="0.2">
      <c r="A79" s="14">
        <f t="shared" si="4"/>
        <v>44604</v>
      </c>
      <c r="B79" s="5">
        <f>(460+505+490+575+510+575)/6</f>
        <v>519.16666666666663</v>
      </c>
      <c r="C79" s="4"/>
      <c r="D79" s="36"/>
      <c r="E79" s="30"/>
    </row>
    <row r="80" spans="1:5" x14ac:dyDescent="0.2">
      <c r="A80" s="14">
        <f t="shared" si="4"/>
        <v>44611</v>
      </c>
      <c r="B80" s="5">
        <f>(460+505+490+575+510+575)/6</f>
        <v>519.16666666666663</v>
      </c>
      <c r="C80" s="4"/>
      <c r="D80" s="36"/>
      <c r="E80" s="30"/>
    </row>
    <row r="81" spans="1:5" ht="13.5" thickBot="1" x14ac:dyDescent="0.25">
      <c r="A81" s="16">
        <f t="shared" si="4"/>
        <v>44618</v>
      </c>
      <c r="B81" s="7">
        <f>(460+505+490+575+510+575)/6</f>
        <v>519.16666666666663</v>
      </c>
      <c r="C81" s="7">
        <f>SUM(B78:B81)/COUNTA(B78:B81)</f>
        <v>517.29166666666663</v>
      </c>
      <c r="D81" s="33">
        <f>C81/E$3</f>
        <v>1.3123567665389719</v>
      </c>
      <c r="E81" s="34"/>
    </row>
    <row r="82" spans="1:5" x14ac:dyDescent="0.2">
      <c r="A82" s="12">
        <f t="shared" si="4"/>
        <v>44625</v>
      </c>
      <c r="B82" s="5">
        <f>(480+510+490+595+550+590)/6</f>
        <v>535.83333333333337</v>
      </c>
      <c r="C82" s="13"/>
      <c r="D82" s="35"/>
      <c r="E82" s="32"/>
    </row>
    <row r="83" spans="1:5" x14ac:dyDescent="0.2">
      <c r="A83" s="14">
        <f t="shared" si="4"/>
        <v>44632</v>
      </c>
      <c r="B83" s="5">
        <f>(500+530+500+610+560+600)/6</f>
        <v>550</v>
      </c>
      <c r="C83" s="4"/>
      <c r="D83" s="36"/>
      <c r="E83" s="30"/>
    </row>
    <row r="84" spans="1:5" x14ac:dyDescent="0.2">
      <c r="A84" s="14">
        <f t="shared" si="4"/>
        <v>44639</v>
      </c>
      <c r="B84" s="5">
        <f>(515+540+515+610+565+610)/6</f>
        <v>559.16666666666663</v>
      </c>
      <c r="C84" s="4"/>
      <c r="D84" s="36"/>
      <c r="E84" s="30"/>
    </row>
    <row r="85" spans="1:5" ht="13.5" thickBot="1" x14ac:dyDescent="0.25">
      <c r="A85" s="16">
        <f t="shared" si="4"/>
        <v>44646</v>
      </c>
      <c r="B85" s="7">
        <f>(515+540+515+610+565+610)/6</f>
        <v>559.16666666666663</v>
      </c>
      <c r="C85" s="7">
        <f>SUM(B82:B85)/COUNTA(B82:B85)</f>
        <v>551.04166666666663</v>
      </c>
      <c r="D85" s="33">
        <f>C85/E$3</f>
        <v>1.3979797211017242</v>
      </c>
      <c r="E85" s="34"/>
    </row>
    <row r="86" spans="1:5" x14ac:dyDescent="0.2">
      <c r="A86" s="17">
        <f t="shared" si="4"/>
        <v>44653</v>
      </c>
      <c r="B86" s="5">
        <f>(540+600+550+620+575+650)/6</f>
        <v>589.16666666666663</v>
      </c>
      <c r="C86" s="13"/>
      <c r="D86" s="31"/>
      <c r="E86" s="32"/>
    </row>
    <row r="87" spans="1:5" x14ac:dyDescent="0.2">
      <c r="A87" s="2">
        <f t="shared" si="4"/>
        <v>44660</v>
      </c>
      <c r="B87" s="5">
        <f>(540+600+550+650+575+650)/6</f>
        <v>594.16666666666663</v>
      </c>
      <c r="C87" s="4"/>
      <c r="D87" s="37"/>
      <c r="E87" s="38"/>
    </row>
    <row r="88" spans="1:5" x14ac:dyDescent="0.2">
      <c r="A88" s="2">
        <f t="shared" ref="A88:A90" si="7">A87+7</f>
        <v>44667</v>
      </c>
      <c r="B88" s="5">
        <f>(550+625+575+685+575+650)/6</f>
        <v>610</v>
      </c>
      <c r="C88" s="4"/>
      <c r="D88" s="37"/>
      <c r="E88" s="38"/>
    </row>
    <row r="89" spans="1:5" x14ac:dyDescent="0.2">
      <c r="A89" s="2">
        <f t="shared" si="7"/>
        <v>44674</v>
      </c>
      <c r="B89" s="5">
        <f>(550+625+575+695+575+675)/6</f>
        <v>615.83333333333337</v>
      </c>
      <c r="C89" s="4"/>
      <c r="D89" s="37"/>
      <c r="E89" s="38"/>
    </row>
    <row r="90" spans="1:5" ht="13.5" thickBot="1" x14ac:dyDescent="0.25">
      <c r="A90" s="15">
        <f t="shared" si="7"/>
        <v>44681</v>
      </c>
      <c r="B90" s="7">
        <f>(575+625+600+700+575+690)/6</f>
        <v>627.5</v>
      </c>
      <c r="C90" s="7">
        <f>SUM(B87:B90)/COUNTA(B87:B90)</f>
        <v>611.875</v>
      </c>
      <c r="D90" s="33">
        <f>C90/E$3</f>
        <v>1.5523124540173021</v>
      </c>
      <c r="E90" s="34"/>
    </row>
    <row r="91" spans="1:5" x14ac:dyDescent="0.2">
      <c r="A91" s="12">
        <v>44688</v>
      </c>
      <c r="B91" s="5">
        <f>(625+700+650+735+575+700)/6</f>
        <v>664.16666666666663</v>
      </c>
      <c r="C91" s="13"/>
      <c r="D91" s="31"/>
      <c r="E91" s="32"/>
    </row>
    <row r="92" spans="1:5" x14ac:dyDescent="0.2">
      <c r="A92" s="14">
        <v>44695</v>
      </c>
      <c r="B92" s="5">
        <f>(625+700+650+750+575+700)/6</f>
        <v>666.66666666666663</v>
      </c>
      <c r="C92" s="4"/>
      <c r="D92" s="29"/>
      <c r="E92" s="30"/>
    </row>
    <row r="93" spans="1:5" x14ac:dyDescent="0.2">
      <c r="A93" s="14">
        <v>44702</v>
      </c>
      <c r="B93" s="5">
        <f>(625+725+675+750+600+700)/6</f>
        <v>679.16666666666663</v>
      </c>
      <c r="C93" s="4"/>
      <c r="D93" s="29"/>
      <c r="E93" s="30"/>
    </row>
    <row r="94" spans="1:5" ht="13.5" thickBot="1" x14ac:dyDescent="0.25">
      <c r="A94" s="16">
        <v>44709</v>
      </c>
      <c r="B94" s="7">
        <f>(650+750+700+770+600+725)/6</f>
        <v>699.16666666666663</v>
      </c>
      <c r="C94" s="7">
        <f>SUM(B91:B94)/COUNTA(B91:B94)</f>
        <v>677.29166666666663</v>
      </c>
      <c r="D94" s="33">
        <f>C94/E$3</f>
        <v>1.7182729955772043</v>
      </c>
      <c r="E94" s="34"/>
    </row>
    <row r="95" spans="1:5" x14ac:dyDescent="0.2">
      <c r="A95" s="12">
        <v>44716</v>
      </c>
      <c r="B95" s="5">
        <f>(650+775+725+790+650+775)/6</f>
        <v>727.5</v>
      </c>
      <c r="C95" s="13"/>
      <c r="D95" s="35"/>
      <c r="E95" s="32"/>
    </row>
    <row r="96" spans="1:5" x14ac:dyDescent="0.2">
      <c r="A96" s="14">
        <v>44723</v>
      </c>
      <c r="B96" s="5">
        <f>(675+800+725+800+700+800)/6</f>
        <v>750</v>
      </c>
      <c r="C96" s="4"/>
      <c r="D96" s="36"/>
      <c r="E96" s="30"/>
    </row>
    <row r="97" spans="1:5" x14ac:dyDescent="0.2">
      <c r="A97" s="14">
        <v>44730</v>
      </c>
      <c r="B97" s="5">
        <f>(675+810+725+810+700+800)/6</f>
        <v>753.33333333333337</v>
      </c>
      <c r="C97" s="4"/>
      <c r="D97" s="36"/>
      <c r="E97" s="30"/>
    </row>
    <row r="98" spans="1:5" ht="13.5" thickBot="1" x14ac:dyDescent="0.25">
      <c r="A98" s="16">
        <v>44737</v>
      </c>
      <c r="B98" s="7">
        <f>(675+820+725+820+700+825)/6</f>
        <v>760.83333333333337</v>
      </c>
      <c r="C98" s="7">
        <f>SUM(B95:B98)/COUNTA(B95:B98)</f>
        <v>747.91666666666674</v>
      </c>
      <c r="D98" s="33">
        <f>C98/E$3</f>
        <v>1.8974469560511118</v>
      </c>
      <c r="E98" s="34"/>
    </row>
    <row r="99" spans="1:5" x14ac:dyDescent="0.2">
      <c r="A99" s="17">
        <v>44744</v>
      </c>
      <c r="B99" s="5">
        <f>(675+820+725+820+725+840)/6</f>
        <v>767.5</v>
      </c>
      <c r="C99" s="13"/>
      <c r="D99" s="31"/>
      <c r="E99" s="32"/>
    </row>
    <row r="100" spans="1:5" x14ac:dyDescent="0.2">
      <c r="A100" s="2">
        <v>44751</v>
      </c>
      <c r="B100" s="5">
        <f>(675+820+740+830+725+840)/6</f>
        <v>771.66666666666663</v>
      </c>
      <c r="C100" s="4"/>
      <c r="D100" s="37"/>
      <c r="E100" s="38"/>
    </row>
    <row r="101" spans="1:5" x14ac:dyDescent="0.2">
      <c r="A101" s="2">
        <v>44758</v>
      </c>
      <c r="B101" s="5">
        <f>(675+820+740+830+725+840)/6</f>
        <v>771.66666666666663</v>
      </c>
      <c r="C101" s="4"/>
      <c r="D101" s="37"/>
      <c r="E101" s="38"/>
    </row>
    <row r="102" spans="1:5" x14ac:dyDescent="0.2">
      <c r="A102" s="2">
        <v>44765</v>
      </c>
      <c r="B102" s="5">
        <f>(675+820+740+830+725+840)/6</f>
        <v>771.66666666666663</v>
      </c>
      <c r="C102" s="4"/>
      <c r="D102" s="37"/>
      <c r="E102" s="38"/>
    </row>
    <row r="103" spans="1:5" ht="13.5" thickBot="1" x14ac:dyDescent="0.25">
      <c r="A103" s="15">
        <v>44772</v>
      </c>
      <c r="B103" s="7">
        <f>(650+820+740+830+725+840)/6</f>
        <v>767.5</v>
      </c>
      <c r="C103" s="7">
        <f>SUM(B100:B103)/COUNTA(B100:B103)</f>
        <v>770.625</v>
      </c>
      <c r="D103" s="33">
        <f>C103/E$3</f>
        <v>1.9550574625161732</v>
      </c>
      <c r="E103" s="34"/>
    </row>
    <row r="104" spans="1:5" x14ac:dyDescent="0.2">
      <c r="A104" s="12">
        <v>44779</v>
      </c>
      <c r="B104" s="5">
        <f>(650+820+720+805+725+800)/6</f>
        <v>753.33333333333337</v>
      </c>
      <c r="C104" s="13"/>
      <c r="D104" s="35"/>
      <c r="E104" s="32"/>
    </row>
    <row r="105" spans="1:5" x14ac:dyDescent="0.2">
      <c r="A105" s="14">
        <v>44786</v>
      </c>
      <c r="B105" s="5">
        <f>(650+820+720+805+725+800)/6</f>
        <v>753.33333333333337</v>
      </c>
      <c r="C105" s="4"/>
      <c r="D105" s="36"/>
      <c r="E105" s="30"/>
    </row>
    <row r="106" spans="1:5" x14ac:dyDescent="0.2">
      <c r="A106" s="14">
        <v>44793</v>
      </c>
      <c r="B106" s="5">
        <f>(650+820+720+805+725+800)/6</f>
        <v>753.33333333333337</v>
      </c>
      <c r="C106" s="4"/>
      <c r="D106" s="36"/>
      <c r="E106" s="30"/>
    </row>
    <row r="107" spans="1:5" ht="13.5" thickBot="1" x14ac:dyDescent="0.25">
      <c r="A107" s="16">
        <v>44800</v>
      </c>
      <c r="B107" s="7">
        <f>(650+820+720+805+725+800)/6</f>
        <v>753.33333333333337</v>
      </c>
      <c r="C107" s="7">
        <f>SUM(B104:B107)/COUNTA(B104:B107)</f>
        <v>753.33333333333337</v>
      </c>
      <c r="D107" s="33">
        <f>C107/E$3</f>
        <v>1.9111889117216767</v>
      </c>
      <c r="E107" s="34"/>
    </row>
    <row r="108" spans="1:5" x14ac:dyDescent="0.2">
      <c r="A108" s="12">
        <v>44807</v>
      </c>
      <c r="B108" s="5">
        <f>(650+800+700+780+720+775)/6</f>
        <v>737.5</v>
      </c>
      <c r="C108" s="13"/>
      <c r="D108" s="35"/>
      <c r="E108" s="32"/>
    </row>
    <row r="109" spans="1:5" x14ac:dyDescent="0.2">
      <c r="A109" s="14">
        <v>44814</v>
      </c>
      <c r="B109" s="5">
        <f>(650+800+690+780+710+775)/6</f>
        <v>734.16666666666663</v>
      </c>
      <c r="C109" s="4"/>
      <c r="D109" s="36"/>
      <c r="E109" s="30"/>
    </row>
    <row r="110" spans="1:5" x14ac:dyDescent="0.2">
      <c r="A110" s="14">
        <v>44821</v>
      </c>
      <c r="B110" s="5">
        <f>(650+800+690+780+710+775)/6</f>
        <v>734.16666666666663</v>
      </c>
      <c r="C110" s="4"/>
      <c r="D110" s="36"/>
      <c r="E110" s="30"/>
    </row>
    <row r="111" spans="1:5" ht="13.5" thickBot="1" x14ac:dyDescent="0.25">
      <c r="A111" s="16">
        <v>44828</v>
      </c>
      <c r="B111" s="7">
        <f>(650+800+690+770+710+775)/6</f>
        <v>732.5</v>
      </c>
      <c r="C111" s="7">
        <f>SUM(B108:B111)/COUNTA(B108:B111)</f>
        <v>734.58333333333326</v>
      </c>
      <c r="D111" s="33">
        <f>C111/E$3</f>
        <v>1.8636206036312586</v>
      </c>
      <c r="E111" s="34"/>
    </row>
    <row r="112" spans="1:5" x14ac:dyDescent="0.2">
      <c r="A112" s="17">
        <v>44835</v>
      </c>
      <c r="B112" s="5">
        <f>(650+800+690+770+710+775)/6</f>
        <v>732.5</v>
      </c>
      <c r="C112" s="13"/>
      <c r="D112" s="31"/>
      <c r="E112" s="32"/>
    </row>
    <row r="113" spans="1:5" x14ac:dyDescent="0.2">
      <c r="A113" s="2">
        <v>44842</v>
      </c>
      <c r="B113" s="5">
        <f>(650+775+660+745+680+750)/6</f>
        <v>710</v>
      </c>
      <c r="C113" s="4"/>
      <c r="D113" s="37"/>
      <c r="E113" s="38"/>
    </row>
    <row r="114" spans="1:5" x14ac:dyDescent="0.2">
      <c r="A114" s="2">
        <v>44849</v>
      </c>
      <c r="B114" s="5">
        <f>(650+775+650+740+670+750)/6</f>
        <v>705.83333333333337</v>
      </c>
      <c r="C114" s="4"/>
      <c r="D114" s="37"/>
      <c r="E114" s="38"/>
    </row>
    <row r="115" spans="1:5" x14ac:dyDescent="0.2">
      <c r="A115" s="2">
        <v>44856</v>
      </c>
      <c r="B115" s="5">
        <f>(650+775+650+740+670+750)/6</f>
        <v>705.83333333333337</v>
      </c>
      <c r="C115" s="4"/>
      <c r="D115" s="37"/>
      <c r="E115" s="38"/>
    </row>
    <row r="116" spans="1:5" ht="13.5" thickBot="1" x14ac:dyDescent="0.25">
      <c r="A116" s="15">
        <v>44863</v>
      </c>
      <c r="B116" s="7">
        <f>(650+750+650+730+640+725)/6</f>
        <v>690.83333333333337</v>
      </c>
      <c r="C116" s="7">
        <f>SUM(B113:B116)/COUNTA(B113:B116)</f>
        <v>703.12500000000011</v>
      </c>
      <c r="D116" s="33">
        <f>C116/E$3</f>
        <v>1.7838115533906693</v>
      </c>
      <c r="E116" s="34"/>
    </row>
    <row r="117" spans="1:5" x14ac:dyDescent="0.2">
      <c r="A117" s="12">
        <v>44870</v>
      </c>
      <c r="B117" s="5">
        <f>(625+725+630+730+625+680)/6</f>
        <v>669.16666666666663</v>
      </c>
      <c r="C117" s="13"/>
      <c r="D117" s="35"/>
      <c r="E117" s="32"/>
    </row>
    <row r="118" spans="1:5" x14ac:dyDescent="0.2">
      <c r="A118" s="14">
        <v>44877</v>
      </c>
      <c r="B118" s="5">
        <f>(625+725+630+730+625+680)/6</f>
        <v>669.16666666666663</v>
      </c>
      <c r="C118" s="4"/>
      <c r="D118" s="36"/>
      <c r="E118" s="30"/>
    </row>
    <row r="119" spans="1:5" x14ac:dyDescent="0.2">
      <c r="A119" s="14">
        <v>44884</v>
      </c>
      <c r="B119" s="5">
        <f>(625+725+630+730+625+680)/6</f>
        <v>669.16666666666663</v>
      </c>
      <c r="C119" s="4"/>
      <c r="D119" s="36"/>
      <c r="E119" s="30"/>
    </row>
    <row r="120" spans="1:5" ht="13.5" thickBot="1" x14ac:dyDescent="0.25">
      <c r="A120" s="16">
        <v>44891</v>
      </c>
      <c r="B120" s="7">
        <f>(625+725+630+730+625+680)/6</f>
        <v>669.16666666666663</v>
      </c>
      <c r="C120" s="7">
        <f>SUM(B117:B120)/COUNTA(B117:B120)</f>
        <v>669.16666666666663</v>
      </c>
      <c r="D120" s="33">
        <f>C120/E$3</f>
        <v>1.6976600620713564</v>
      </c>
      <c r="E120" s="34"/>
    </row>
    <row r="121" spans="1:5" x14ac:dyDescent="0.2">
      <c r="A121" s="17">
        <v>44898</v>
      </c>
      <c r="B121" s="5">
        <f>(625+725+630+730+625+680)/6</f>
        <v>669.16666666666663</v>
      </c>
      <c r="C121" s="13"/>
      <c r="D121" s="31"/>
      <c r="E121" s="32"/>
    </row>
    <row r="122" spans="1:5" x14ac:dyDescent="0.2">
      <c r="A122" s="2">
        <v>44905</v>
      </c>
      <c r="B122" s="5">
        <f>(600+675+630+705+600+680)/6</f>
        <v>648.33333333333337</v>
      </c>
      <c r="C122" s="4"/>
      <c r="D122" s="37"/>
      <c r="E122" s="38"/>
    </row>
    <row r="123" spans="1:5" x14ac:dyDescent="0.2">
      <c r="A123" s="2">
        <v>44912</v>
      </c>
      <c r="B123" s="5">
        <f>(600+675+630+705+575+680)/6</f>
        <v>644.16666666666663</v>
      </c>
      <c r="C123" s="4"/>
      <c r="D123" s="37"/>
      <c r="E123" s="38"/>
    </row>
    <row r="124" spans="1:5" x14ac:dyDescent="0.2">
      <c r="A124" s="2">
        <v>44919</v>
      </c>
      <c r="B124" s="5">
        <f>(600+675+630+705+575+680)/6</f>
        <v>644.16666666666663</v>
      </c>
      <c r="C124" s="4"/>
      <c r="D124" s="37"/>
      <c r="E124" s="38"/>
    </row>
    <row r="125" spans="1:5" ht="13.5" thickBot="1" x14ac:dyDescent="0.25">
      <c r="A125" s="15">
        <v>44926</v>
      </c>
      <c r="B125" s="7">
        <f>(600+675+630+705+575+680)/6</f>
        <v>644.16666666666663</v>
      </c>
      <c r="C125" s="7">
        <f>SUM(B122:B125)/COUNTA(B122:B125)</f>
        <v>645.20833333333326</v>
      </c>
      <c r="D125" s="33">
        <f>C125/E$3</f>
        <v>1.6368783350669336</v>
      </c>
      <c r="E125" s="34"/>
    </row>
    <row r="126" spans="1:5" x14ac:dyDescent="0.2">
      <c r="A126" s="12">
        <v>44933</v>
      </c>
      <c r="B126" s="5">
        <f>(550+675+630+705+575+680)/6</f>
        <v>635.83333333333337</v>
      </c>
      <c r="C126" s="13"/>
      <c r="D126" s="35"/>
      <c r="E126" s="32"/>
    </row>
    <row r="127" spans="1:5" x14ac:dyDescent="0.2">
      <c r="A127" s="14">
        <v>44940</v>
      </c>
      <c r="B127" s="5">
        <f>(550+675+600+695+575+680)/6</f>
        <v>629.16666666666663</v>
      </c>
      <c r="C127" s="4"/>
      <c r="D127" s="36"/>
      <c r="E127" s="30"/>
    </row>
    <row r="128" spans="1:5" x14ac:dyDescent="0.2">
      <c r="A128" s="14">
        <v>44947</v>
      </c>
      <c r="B128" s="5">
        <f>(550+675+600+695+575+680)/6</f>
        <v>629.16666666666663</v>
      </c>
      <c r="C128" s="4"/>
      <c r="D128" s="36"/>
      <c r="E128" s="30"/>
    </row>
    <row r="129" spans="1:5" ht="13.5" thickBot="1" x14ac:dyDescent="0.25">
      <c r="A129" s="16">
        <v>44954</v>
      </c>
      <c r="B129" s="7">
        <f>(550+675+600+695+575+680)/6</f>
        <v>629.16666666666663</v>
      </c>
      <c r="C129" s="7">
        <f>SUM(B126:B129)/COUNTA(B126:B129)</f>
        <v>630.83333333333326</v>
      </c>
      <c r="D129" s="33">
        <f>C129/E$3</f>
        <v>1.60040929886428</v>
      </c>
      <c r="E129" s="34"/>
    </row>
    <row r="130" spans="1:5" x14ac:dyDescent="0.2">
      <c r="A130" s="12">
        <v>44961</v>
      </c>
      <c r="B130" s="5">
        <f>(550+675+605+695+575+680)/6</f>
        <v>630</v>
      </c>
      <c r="C130" s="13"/>
      <c r="D130" s="35"/>
      <c r="E130" s="32"/>
    </row>
    <row r="131" spans="1:5" x14ac:dyDescent="0.2">
      <c r="A131" s="14">
        <v>44968</v>
      </c>
      <c r="B131" s="5">
        <f>(550+675+605+695+575+680)/6</f>
        <v>630</v>
      </c>
      <c r="C131" s="4"/>
      <c r="D131" s="36"/>
      <c r="E131" s="30"/>
    </row>
    <row r="132" spans="1:5" x14ac:dyDescent="0.2">
      <c r="A132" s="14">
        <v>44975</v>
      </c>
      <c r="B132" s="5">
        <f>(550+675+605+695+575+680)/6</f>
        <v>630</v>
      </c>
      <c r="C132" s="4"/>
      <c r="D132" s="36"/>
      <c r="E132" s="30"/>
    </row>
    <row r="133" spans="1:5" ht="13.5" thickBot="1" x14ac:dyDescent="0.25">
      <c r="A133" s="16">
        <v>44982</v>
      </c>
      <c r="B133" s="7">
        <f>(550+675+605+695+575+680)/6</f>
        <v>630</v>
      </c>
      <c r="C133" s="7">
        <f>SUM(B130:B133)/COUNTA(B130:B133)</f>
        <v>630</v>
      </c>
      <c r="D133" s="33">
        <f>C133/E$3</f>
        <v>1.5982951518380393</v>
      </c>
      <c r="E133" s="34"/>
    </row>
    <row r="134" spans="1:5" x14ac:dyDescent="0.2">
      <c r="A134" s="12">
        <v>44989</v>
      </c>
      <c r="B134" s="5">
        <f t="shared" ref="B134:B142" si="8">(550+675+610+695+575+680)/6</f>
        <v>630.83333333333337</v>
      </c>
      <c r="C134" s="13"/>
      <c r="D134" s="31"/>
      <c r="E134" s="32"/>
    </row>
    <row r="135" spans="1:5" x14ac:dyDescent="0.2">
      <c r="A135" s="14">
        <v>44996</v>
      </c>
      <c r="B135" s="5">
        <f t="shared" si="8"/>
        <v>630.83333333333337</v>
      </c>
      <c r="C135" s="4"/>
      <c r="D135" s="29"/>
      <c r="E135" s="30"/>
    </row>
    <row r="136" spans="1:5" x14ac:dyDescent="0.2">
      <c r="A136" s="14">
        <v>45003</v>
      </c>
      <c r="B136" s="5">
        <f t="shared" si="8"/>
        <v>630.83333333333337</v>
      </c>
      <c r="C136" s="4"/>
      <c r="D136" s="29"/>
      <c r="E136" s="30"/>
    </row>
    <row r="137" spans="1:5" ht="13.5" thickBot="1" x14ac:dyDescent="0.25">
      <c r="A137" s="16">
        <v>45010</v>
      </c>
      <c r="B137" s="7">
        <f t="shared" si="8"/>
        <v>630.83333333333337</v>
      </c>
      <c r="C137" s="7">
        <f>SUM(B134:B137)/COUNTA(B134:B137)</f>
        <v>630.83333333333337</v>
      </c>
      <c r="D137" s="33">
        <f>C137/E$3</f>
        <v>1.6004092988642802</v>
      </c>
      <c r="E137" s="34"/>
    </row>
    <row r="138" spans="1:5" x14ac:dyDescent="0.2">
      <c r="A138" s="25">
        <v>45017</v>
      </c>
      <c r="B138" s="5">
        <f t="shared" si="8"/>
        <v>630.83333333333337</v>
      </c>
      <c r="C138" s="13"/>
      <c r="D138" s="31"/>
      <c r="E138" s="32"/>
    </row>
    <row r="139" spans="1:5" x14ac:dyDescent="0.2">
      <c r="A139" s="26">
        <v>45024</v>
      </c>
      <c r="B139" s="5">
        <f t="shared" si="8"/>
        <v>630.83333333333337</v>
      </c>
      <c r="C139" s="4"/>
      <c r="D139" s="29"/>
      <c r="E139" s="30"/>
    </row>
    <row r="140" spans="1:5" x14ac:dyDescent="0.2">
      <c r="A140" s="26">
        <v>45031</v>
      </c>
      <c r="B140" s="5">
        <f t="shared" si="8"/>
        <v>630.83333333333337</v>
      </c>
      <c r="C140" s="4"/>
      <c r="D140" s="29"/>
      <c r="E140" s="30"/>
    </row>
    <row r="141" spans="1:5" x14ac:dyDescent="0.2">
      <c r="A141" s="14">
        <v>45038</v>
      </c>
      <c r="B141" s="5">
        <f t="shared" si="8"/>
        <v>630.83333333333337</v>
      </c>
      <c r="C141" s="4"/>
      <c r="D141" s="29"/>
      <c r="E141" s="30"/>
    </row>
    <row r="142" spans="1:5" ht="13.5" thickBot="1" x14ac:dyDescent="0.25">
      <c r="A142" s="16">
        <v>45045</v>
      </c>
      <c r="B142" s="7">
        <f t="shared" si="8"/>
        <v>630.83333333333337</v>
      </c>
      <c r="C142" s="7">
        <f>SUM(B139:B142)/COUNT(B139:B142)</f>
        <v>630.83333333333337</v>
      </c>
      <c r="D142" s="33">
        <f>C142/E$3</f>
        <v>1.6004092988642802</v>
      </c>
      <c r="E142" s="34"/>
    </row>
    <row r="143" spans="1:5" x14ac:dyDescent="0.2">
      <c r="A143" s="12">
        <v>45052</v>
      </c>
      <c r="B143" s="5">
        <f>(550+675+610+695+570+625)/6</f>
        <v>620.83333333333337</v>
      </c>
      <c r="C143" s="13"/>
      <c r="D143" s="31"/>
      <c r="E143" s="32"/>
    </row>
    <row r="144" spans="1:5" x14ac:dyDescent="0.2">
      <c r="A144" s="14">
        <v>45059</v>
      </c>
      <c r="B144" s="5">
        <f>(550+675+610+695+570+625)/6</f>
        <v>620.83333333333337</v>
      </c>
      <c r="C144" s="4"/>
      <c r="D144" s="29"/>
      <c r="E144" s="30"/>
    </row>
    <row r="145" spans="1:5" x14ac:dyDescent="0.2">
      <c r="A145" s="14">
        <v>45066</v>
      </c>
      <c r="B145" s="5">
        <f>(550+675+610+695+570+625)/6</f>
        <v>620.83333333333337</v>
      </c>
      <c r="C145" s="4"/>
      <c r="D145" s="29"/>
      <c r="E145" s="30"/>
    </row>
    <row r="146" spans="1:5" ht="13.5" thickBot="1" x14ac:dyDescent="0.25">
      <c r="A146" s="16">
        <v>45073</v>
      </c>
      <c r="B146" s="7">
        <f>(550+675+610+695+570+625)/6</f>
        <v>620.83333333333337</v>
      </c>
      <c r="C146" s="7">
        <f>SUM(B143:B146)/COUNT(B143:B146)</f>
        <v>620.83333333333337</v>
      </c>
      <c r="D146" s="33">
        <f>C146/E$3</f>
        <v>1.5750395345493908</v>
      </c>
      <c r="E146" s="34"/>
    </row>
    <row r="147" spans="1:5" x14ac:dyDescent="0.2">
      <c r="A147" s="12">
        <v>45080</v>
      </c>
      <c r="B147" s="5">
        <f>(550+650+595+695+550+625)/6</f>
        <v>610.83333333333337</v>
      </c>
      <c r="C147" s="13"/>
      <c r="D147" s="31"/>
      <c r="E147" s="32"/>
    </row>
    <row r="148" spans="1:5" x14ac:dyDescent="0.2">
      <c r="A148" s="14">
        <v>45087</v>
      </c>
      <c r="B148" s="5">
        <f>(550+650+585+695+550+625)/6</f>
        <v>609.16666666666663</v>
      </c>
      <c r="C148" s="4"/>
      <c r="D148" s="29"/>
      <c r="E148" s="30"/>
    </row>
    <row r="149" spans="1:5" x14ac:dyDescent="0.2">
      <c r="A149" s="14">
        <v>45094</v>
      </c>
      <c r="B149" s="5">
        <f>(550+650+585+695+550+625)/6</f>
        <v>609.16666666666663</v>
      </c>
      <c r="C149" s="4"/>
      <c r="D149" s="29"/>
      <c r="E149" s="30"/>
    </row>
    <row r="150" spans="1:5" ht="13.5" thickBot="1" x14ac:dyDescent="0.25">
      <c r="A150" s="16">
        <v>45101</v>
      </c>
      <c r="B150" s="7">
        <f>(550+650+585+695+550+625)/6</f>
        <v>609.16666666666663</v>
      </c>
      <c r="C150" s="7">
        <f>SUM(B147:B150)/COUNT(B147:B150)</f>
        <v>609.58333333333326</v>
      </c>
      <c r="D150" s="33">
        <f>C150/E$3</f>
        <v>1.5464985496951398</v>
      </c>
      <c r="E150" s="34"/>
    </row>
    <row r="151" spans="1:5" x14ac:dyDescent="0.2">
      <c r="A151" s="25">
        <v>45108</v>
      </c>
      <c r="B151" s="27">
        <f>(550+650+585+695+540+625)/6</f>
        <v>607.5</v>
      </c>
      <c r="C151" s="13"/>
      <c r="D151" s="31"/>
      <c r="E151" s="32"/>
    </row>
    <row r="152" spans="1:5" x14ac:dyDescent="0.2">
      <c r="A152" s="26">
        <v>45115</v>
      </c>
      <c r="B152" s="5">
        <f>(550+650+585+695+540+625)/6</f>
        <v>607.5</v>
      </c>
      <c r="C152" s="4"/>
      <c r="D152" s="29"/>
      <c r="E152" s="30"/>
    </row>
    <row r="153" spans="1:5" x14ac:dyDescent="0.2">
      <c r="A153" s="26">
        <v>45122</v>
      </c>
      <c r="B153" s="5">
        <f>(550+650+585+695+540+625)/6</f>
        <v>607.5</v>
      </c>
      <c r="C153" s="4"/>
      <c r="D153" s="29"/>
      <c r="E153" s="30"/>
    </row>
    <row r="154" spans="1:5" x14ac:dyDescent="0.2">
      <c r="A154" s="14">
        <v>45129</v>
      </c>
      <c r="B154" s="5">
        <f>(550+650+585+695+540+625)/6</f>
        <v>607.5</v>
      </c>
      <c r="C154" s="4"/>
      <c r="D154" s="29"/>
      <c r="E154" s="30"/>
    </row>
    <row r="155" spans="1:5" ht="13.5" thickBot="1" x14ac:dyDescent="0.25">
      <c r="A155" s="16">
        <v>45136</v>
      </c>
      <c r="B155" s="7">
        <f>(550+650+585+695+540+625)/6</f>
        <v>607.5</v>
      </c>
      <c r="C155" s="7">
        <f>SUM(B152:B155)/COUNT(B152:B155)</f>
        <v>607.5</v>
      </c>
      <c r="D155" s="33">
        <f>C155/E$3</f>
        <v>1.5412131821295381</v>
      </c>
      <c r="E155" s="34"/>
    </row>
    <row r="156" spans="1:5" x14ac:dyDescent="0.2">
      <c r="A156" s="12">
        <v>45143</v>
      </c>
      <c r="B156" s="5">
        <f t="shared" ref="B156:B163" si="9">(550+650+580+695+540+625)/6</f>
        <v>606.66666666666663</v>
      </c>
      <c r="C156" s="13"/>
      <c r="D156" s="31"/>
      <c r="E156" s="32"/>
    </row>
    <row r="157" spans="1:5" x14ac:dyDescent="0.2">
      <c r="A157" s="14">
        <v>45150</v>
      </c>
      <c r="B157" s="5">
        <f t="shared" si="9"/>
        <v>606.66666666666663</v>
      </c>
      <c r="C157" s="4"/>
      <c r="D157" s="29"/>
      <c r="E157" s="30"/>
    </row>
    <row r="158" spans="1:5" x14ac:dyDescent="0.2">
      <c r="A158" s="14">
        <v>45157</v>
      </c>
      <c r="B158" s="5">
        <f t="shared" si="9"/>
        <v>606.66666666666663</v>
      </c>
      <c r="C158" s="4"/>
      <c r="D158" s="29"/>
      <c r="E158" s="30"/>
    </row>
    <row r="159" spans="1:5" ht="13.5" thickBot="1" x14ac:dyDescent="0.25">
      <c r="A159" s="16">
        <v>45164</v>
      </c>
      <c r="B159" s="7">
        <f t="shared" si="9"/>
        <v>606.66666666666663</v>
      </c>
      <c r="C159" s="7">
        <f>SUM(B156:B159)/COUNT(B156:B159)</f>
        <v>606.66666666666663</v>
      </c>
      <c r="D159" s="33">
        <f>C159/E$3</f>
        <v>1.5390990351032972</v>
      </c>
      <c r="E159" s="34"/>
    </row>
    <row r="160" spans="1:5" x14ac:dyDescent="0.2">
      <c r="A160" s="25">
        <v>45171</v>
      </c>
      <c r="B160" s="27">
        <f t="shared" si="9"/>
        <v>606.66666666666663</v>
      </c>
      <c r="C160" s="13"/>
      <c r="D160" s="31"/>
      <c r="E160" s="32"/>
    </row>
    <row r="161" spans="1:5" x14ac:dyDescent="0.2">
      <c r="A161" s="26">
        <v>45178</v>
      </c>
      <c r="B161" s="5">
        <f t="shared" si="9"/>
        <v>606.66666666666663</v>
      </c>
      <c r="C161" s="4"/>
      <c r="D161" s="29"/>
      <c r="E161" s="30"/>
    </row>
    <row r="162" spans="1:5" x14ac:dyDescent="0.2">
      <c r="A162" s="26">
        <v>45185</v>
      </c>
      <c r="B162" s="5">
        <f t="shared" si="9"/>
        <v>606.66666666666663</v>
      </c>
      <c r="C162" s="4"/>
      <c r="D162" s="29"/>
      <c r="E162" s="30"/>
    </row>
    <row r="163" spans="1:5" x14ac:dyDescent="0.2">
      <c r="A163" s="14">
        <v>45192</v>
      </c>
      <c r="B163" s="5">
        <f t="shared" si="9"/>
        <v>606.66666666666663</v>
      </c>
      <c r="C163" s="4"/>
      <c r="D163" s="29"/>
      <c r="E163" s="30"/>
    </row>
    <row r="164" spans="1:5" ht="13.5" thickBot="1" x14ac:dyDescent="0.25">
      <c r="A164" s="16">
        <v>45199</v>
      </c>
      <c r="B164" s="7">
        <f t="shared" ref="B164:B172" si="10">(550+640+565+695+540+625)/6</f>
        <v>602.5</v>
      </c>
      <c r="C164" s="7">
        <f>SUM(B161:B164)/COUNT(B161:B164)</f>
        <v>605.625</v>
      </c>
      <c r="D164" s="33">
        <f>C164/E$3</f>
        <v>1.5364563513204961</v>
      </c>
      <c r="E164" s="34"/>
    </row>
    <row r="165" spans="1:5" x14ac:dyDescent="0.2">
      <c r="A165" s="25">
        <v>45206</v>
      </c>
      <c r="B165" s="5">
        <f t="shared" si="10"/>
        <v>602.5</v>
      </c>
      <c r="C165" s="13"/>
      <c r="D165" s="31"/>
      <c r="E165" s="32"/>
    </row>
    <row r="166" spans="1:5" x14ac:dyDescent="0.2">
      <c r="A166" s="26">
        <v>45213</v>
      </c>
      <c r="B166" s="5">
        <f t="shared" si="10"/>
        <v>602.5</v>
      </c>
      <c r="C166" s="4"/>
      <c r="D166" s="29"/>
      <c r="E166" s="30"/>
    </row>
    <row r="167" spans="1:5" x14ac:dyDescent="0.2">
      <c r="A167" s="26">
        <v>45220</v>
      </c>
      <c r="B167" s="5">
        <f t="shared" si="10"/>
        <v>602.5</v>
      </c>
      <c r="C167" s="4"/>
      <c r="D167" s="29"/>
      <c r="E167" s="30"/>
    </row>
    <row r="168" spans="1:5" ht="13.5" thickBot="1" x14ac:dyDescent="0.25">
      <c r="A168" s="28">
        <v>45227</v>
      </c>
      <c r="B168" s="7">
        <f t="shared" si="10"/>
        <v>602.5</v>
      </c>
      <c r="C168" s="7">
        <f>SUM(B165:B168)/COUNT(B165:B168)</f>
        <v>602.5</v>
      </c>
      <c r="D168" s="33">
        <f>C168/E$3</f>
        <v>1.5285282999720933</v>
      </c>
      <c r="E168" s="34"/>
    </row>
    <row r="169" spans="1:5" x14ac:dyDescent="0.2">
      <c r="A169" s="12">
        <v>45234</v>
      </c>
      <c r="B169" s="5">
        <f t="shared" si="10"/>
        <v>602.5</v>
      </c>
      <c r="C169" s="13"/>
      <c r="D169" s="31"/>
      <c r="E169" s="32"/>
    </row>
    <row r="170" spans="1:5" x14ac:dyDescent="0.2">
      <c r="A170" s="14">
        <v>45241</v>
      </c>
      <c r="B170" s="5">
        <f t="shared" si="10"/>
        <v>602.5</v>
      </c>
      <c r="C170" s="4"/>
      <c r="D170" s="29"/>
      <c r="E170" s="30"/>
    </row>
    <row r="171" spans="1:5" x14ac:dyDescent="0.2">
      <c r="A171" s="14">
        <v>45248</v>
      </c>
      <c r="B171" s="5">
        <f t="shared" si="10"/>
        <v>602.5</v>
      </c>
      <c r="C171" s="4"/>
      <c r="D171" s="29"/>
      <c r="E171" s="30"/>
    </row>
    <row r="172" spans="1:5" ht="13.5" thickBot="1" x14ac:dyDescent="0.25">
      <c r="A172" s="16">
        <v>45255</v>
      </c>
      <c r="B172" s="7">
        <f t="shared" si="10"/>
        <v>602.5</v>
      </c>
      <c r="C172" s="7">
        <f>SUM(B169:B172)/COUNT(B169:B172)</f>
        <v>602.5</v>
      </c>
      <c r="D172" s="33">
        <f>C172/E$3</f>
        <v>1.5285282999720933</v>
      </c>
      <c r="E172" s="34"/>
    </row>
    <row r="173" spans="1:5" x14ac:dyDescent="0.2">
      <c r="A173" s="25">
        <v>45262</v>
      </c>
      <c r="B173" s="5">
        <f>(550+625+565+675+540+625)/6</f>
        <v>596.66666666666663</v>
      </c>
      <c r="C173" s="13"/>
      <c r="D173" s="31"/>
      <c r="E173" s="32"/>
    </row>
    <row r="174" spans="1:5" x14ac:dyDescent="0.2">
      <c r="A174" s="26">
        <v>45269</v>
      </c>
      <c r="B174" s="5">
        <f>(550+615+550+675+540+625)/6</f>
        <v>592.5</v>
      </c>
      <c r="C174" s="4"/>
      <c r="D174" s="29"/>
      <c r="E174" s="30"/>
    </row>
    <row r="175" spans="1:5" x14ac:dyDescent="0.2">
      <c r="A175" s="26">
        <v>45276</v>
      </c>
      <c r="B175" s="5">
        <f>(550+625+565+675+540+625)/6</f>
        <v>596.66666666666663</v>
      </c>
      <c r="C175" s="4"/>
      <c r="D175" s="29"/>
      <c r="E175" s="30"/>
    </row>
    <row r="176" spans="1:5" x14ac:dyDescent="0.2">
      <c r="A176" s="14">
        <v>45283</v>
      </c>
      <c r="B176" s="5">
        <f>(550+625+565+675+540+625)/6</f>
        <v>596.66666666666663</v>
      </c>
      <c r="C176" s="4"/>
      <c r="D176" s="29"/>
      <c r="E176" s="30"/>
    </row>
    <row r="177" spans="1:5" ht="13.5" thickBot="1" x14ac:dyDescent="0.25">
      <c r="A177" s="16">
        <v>45290</v>
      </c>
      <c r="B177" s="7">
        <f>(550+625+565+675+540+625)/6</f>
        <v>596.66666666666663</v>
      </c>
      <c r="C177" s="7">
        <f>SUM(B174:B177)/COUNT(B174:B177)</f>
        <v>595.62499999999989</v>
      </c>
      <c r="D177" s="33">
        <f>C177/E$3</f>
        <v>1.5110865870056063</v>
      </c>
      <c r="E177" s="34"/>
    </row>
    <row r="178" spans="1:5" x14ac:dyDescent="0.2">
      <c r="A178" s="25">
        <v>45297</v>
      </c>
      <c r="B178" s="5">
        <f>(550+615+550+675+540+600)/6</f>
        <v>588.33333333333337</v>
      </c>
      <c r="C178" s="13"/>
      <c r="D178" s="31"/>
      <c r="E178" s="32"/>
    </row>
    <row r="179" spans="1:5" x14ac:dyDescent="0.2">
      <c r="A179" s="26">
        <v>45304</v>
      </c>
      <c r="B179" s="5">
        <f>(550+600+550+675+540+600)/6</f>
        <v>585.83333333333337</v>
      </c>
      <c r="C179" s="4"/>
      <c r="D179" s="29"/>
      <c r="E179" s="30"/>
    </row>
    <row r="180" spans="1:5" x14ac:dyDescent="0.2">
      <c r="A180" s="26">
        <v>45311</v>
      </c>
      <c r="B180" s="5">
        <f>(550+600+550+675+540+600)/6</f>
        <v>585.83333333333337</v>
      </c>
      <c r="C180" s="4"/>
      <c r="D180" s="29"/>
      <c r="E180" s="30"/>
    </row>
    <row r="181" spans="1:5" ht="13.5" thickBot="1" x14ac:dyDescent="0.25">
      <c r="A181" s="28">
        <v>45318</v>
      </c>
      <c r="B181" s="7">
        <f>(550+600+550+675+540+600)/6</f>
        <v>585.83333333333337</v>
      </c>
      <c r="C181" s="7">
        <f>SUM(B178:B181)/COUNT(B178:B181)</f>
        <v>586.45833333333337</v>
      </c>
      <c r="D181" s="33">
        <f>C181/E$3</f>
        <v>1.4878309697169581</v>
      </c>
      <c r="E181" s="34"/>
    </row>
    <row r="182" spans="1:5" x14ac:dyDescent="0.2">
      <c r="A182" s="25">
        <v>45325</v>
      </c>
      <c r="B182" s="5">
        <f>(550+600+550+675+530+600)/6</f>
        <v>584.16666666666663</v>
      </c>
      <c r="C182" s="13"/>
      <c r="D182" s="31"/>
      <c r="E182" s="32"/>
    </row>
    <row r="183" spans="1:5" x14ac:dyDescent="0.2">
      <c r="A183" s="26">
        <v>45332</v>
      </c>
      <c r="B183" s="5">
        <f>(550+600+550+675+530+600)/6</f>
        <v>584.16666666666663</v>
      </c>
      <c r="C183" s="4"/>
      <c r="D183" s="29"/>
      <c r="E183" s="30"/>
    </row>
    <row r="184" spans="1:5" x14ac:dyDescent="0.2">
      <c r="A184" s="26">
        <v>45339</v>
      </c>
      <c r="B184" s="5">
        <f>(550+600+550+675+530+600)/6</f>
        <v>584.16666666666663</v>
      </c>
      <c r="C184" s="4"/>
      <c r="D184" s="29"/>
      <c r="E184" s="30"/>
    </row>
    <row r="185" spans="1:5" ht="13.5" thickBot="1" x14ac:dyDescent="0.25">
      <c r="A185" s="28">
        <v>45346</v>
      </c>
      <c r="B185" s="7">
        <f>(550+600+550+675+530+600)/6</f>
        <v>584.16666666666663</v>
      </c>
      <c r="C185" s="7">
        <f>SUM(B182:B185)/COUNT(B182:B185)</f>
        <v>584.16666666666663</v>
      </c>
      <c r="D185" s="33">
        <f>C185/E$3</f>
        <v>1.4820170653947957</v>
      </c>
      <c r="E185" s="34"/>
    </row>
    <row r="186" spans="1:5" x14ac:dyDescent="0.2">
      <c r="A186" s="25">
        <v>45353</v>
      </c>
      <c r="B186" s="5">
        <f>(550+600+550+675+530+600)/6</f>
        <v>584.16666666666663</v>
      </c>
      <c r="C186" s="13"/>
      <c r="D186" s="31"/>
      <c r="E186" s="32"/>
    </row>
    <row r="187" spans="1:5" x14ac:dyDescent="0.2">
      <c r="A187" s="26">
        <v>45360</v>
      </c>
      <c r="B187" s="5">
        <f>(550+575+520+695+510+600)/6</f>
        <v>575</v>
      </c>
      <c r="C187" s="4"/>
      <c r="D187" s="29"/>
      <c r="E187" s="30"/>
    </row>
    <row r="188" spans="1:5" x14ac:dyDescent="0.2">
      <c r="A188" s="26">
        <v>45367</v>
      </c>
      <c r="B188" s="5">
        <f>(550+575+510+695+510+600)/6</f>
        <v>573.33333333333337</v>
      </c>
      <c r="C188" s="4"/>
      <c r="D188" s="29"/>
      <c r="E188" s="30"/>
    </row>
    <row r="189" spans="1:5" x14ac:dyDescent="0.2">
      <c r="A189" s="14">
        <v>45374</v>
      </c>
      <c r="B189" s="5">
        <f>(550+575+510+695+510+600)/6</f>
        <v>573.33333333333337</v>
      </c>
      <c r="C189" s="4"/>
      <c r="D189" s="29"/>
      <c r="E189" s="30"/>
    </row>
    <row r="190" spans="1:5" ht="13.5" thickBot="1" x14ac:dyDescent="0.25">
      <c r="A190" s="16">
        <v>45381</v>
      </c>
      <c r="B190" s="7">
        <f>(550+575+510+695+510+600)/6</f>
        <v>573.33333333333337</v>
      </c>
      <c r="C190" s="7">
        <f>SUM(B187:B190)/COUNT(B187:B190)</f>
        <v>573.75000000000011</v>
      </c>
      <c r="D190" s="33">
        <f>C190/E$3</f>
        <v>1.4555902275667862</v>
      </c>
      <c r="E190" s="34"/>
    </row>
    <row r="191" spans="1:5" x14ac:dyDescent="0.2">
      <c r="A191" s="25">
        <v>45388</v>
      </c>
      <c r="B191" s="5">
        <f>(550+575+510+695+500+600)/6</f>
        <v>571.66666666666663</v>
      </c>
      <c r="C191" s="13"/>
      <c r="D191" s="31"/>
      <c r="E191" s="32"/>
    </row>
    <row r="192" spans="1:5" x14ac:dyDescent="0.2">
      <c r="A192" s="26">
        <v>45395</v>
      </c>
      <c r="B192" s="5">
        <f>(550+575+510+695+500+600)/6</f>
        <v>571.66666666666663</v>
      </c>
      <c r="C192" s="4"/>
      <c r="D192" s="29"/>
      <c r="E192" s="30"/>
    </row>
    <row r="193" spans="1:5" x14ac:dyDescent="0.2">
      <c r="A193" s="26">
        <v>45402</v>
      </c>
      <c r="B193" s="5">
        <f>(550+575+510+695+500+600)/6</f>
        <v>571.66666666666663</v>
      </c>
      <c r="C193" s="4"/>
      <c r="D193" s="29"/>
      <c r="E193" s="30"/>
    </row>
    <row r="194" spans="1:5" ht="13.5" thickBot="1" x14ac:dyDescent="0.25">
      <c r="A194" s="28">
        <v>45409</v>
      </c>
      <c r="B194" s="7">
        <f>(550+575+510+695+500+600)/6</f>
        <v>571.66666666666663</v>
      </c>
      <c r="C194" s="7">
        <f>SUM(B191:B194)/COUNT(B191:B194)</f>
        <v>571.66666666666663</v>
      </c>
      <c r="D194" s="33">
        <f>C194/E$3</f>
        <v>1.4503048600011839</v>
      </c>
      <c r="E194" s="34"/>
    </row>
    <row r="195" spans="1:5" x14ac:dyDescent="0.2">
      <c r="A195" s="25">
        <v>45416</v>
      </c>
      <c r="B195" s="5">
        <f>(550+600+510+695+510+600)/6</f>
        <v>577.5</v>
      </c>
      <c r="C195" s="13"/>
      <c r="D195" s="31"/>
      <c r="E195" s="32"/>
    </row>
    <row r="196" spans="1:5" x14ac:dyDescent="0.2">
      <c r="A196" s="26">
        <v>45423</v>
      </c>
      <c r="B196" s="5">
        <f>(550+600+510+695+510+610)/6</f>
        <v>579.16666666666663</v>
      </c>
      <c r="C196" s="4"/>
      <c r="D196" s="29"/>
      <c r="E196" s="30"/>
    </row>
    <row r="197" spans="1:5" x14ac:dyDescent="0.2">
      <c r="A197" s="26">
        <v>45430</v>
      </c>
      <c r="B197" s="5">
        <f>(550+600+510+695+510+610)/6</f>
        <v>579.16666666666663</v>
      </c>
      <c r="C197" s="4"/>
      <c r="D197" s="29"/>
      <c r="E197" s="30"/>
    </row>
    <row r="198" spans="1:5" ht="13.5" thickBot="1" x14ac:dyDescent="0.25">
      <c r="A198" s="28">
        <v>45437</v>
      </c>
      <c r="B198" s="7">
        <f>(550+625+525+655+510+610)/6</f>
        <v>579.16666666666663</v>
      </c>
      <c r="C198" s="7">
        <f>SUM(B195:B198)/COUNT(B195:B198)</f>
        <v>578.74999999999989</v>
      </c>
      <c r="D198" s="33">
        <f>C198/E$3</f>
        <v>1.4682751097242304</v>
      </c>
      <c r="E198" s="34"/>
    </row>
    <row r="199" spans="1:5" x14ac:dyDescent="0.2">
      <c r="A199" s="25">
        <v>45444</v>
      </c>
      <c r="B199" s="5">
        <f>(525+625+525+655+510+610)/6</f>
        <v>575</v>
      </c>
      <c r="C199" s="13"/>
      <c r="D199" s="31"/>
      <c r="E199" s="32"/>
    </row>
    <row r="200" spans="1:5" x14ac:dyDescent="0.2">
      <c r="A200" s="26">
        <v>45451</v>
      </c>
      <c r="B200" s="5">
        <f>(525+600+515+655+500+610)/6</f>
        <v>567.5</v>
      </c>
      <c r="C200" s="4"/>
      <c r="D200" s="29"/>
      <c r="E200" s="30"/>
    </row>
    <row r="201" spans="1:5" x14ac:dyDescent="0.2">
      <c r="A201" s="26">
        <v>45458</v>
      </c>
      <c r="B201" s="5">
        <f>(525+600+515+655+500+610)/6</f>
        <v>567.5</v>
      </c>
      <c r="C201" s="4"/>
      <c r="D201" s="29"/>
      <c r="E201" s="30"/>
    </row>
    <row r="202" spans="1:5" x14ac:dyDescent="0.2">
      <c r="A202" s="14">
        <v>45465</v>
      </c>
      <c r="B202" s="5">
        <f>(525+600+515+655+500+610)/6</f>
        <v>567.5</v>
      </c>
      <c r="C202" s="4"/>
      <c r="D202" s="29"/>
      <c r="E202" s="30"/>
    </row>
    <row r="203" spans="1:5" ht="13.5" thickBot="1" x14ac:dyDescent="0.25">
      <c r="A203" s="16">
        <v>45472</v>
      </c>
      <c r="B203" s="7">
        <f t="shared" ref="B203:B209" si="11">(525+600+520+655+500+610)/6</f>
        <v>568.33333333333337</v>
      </c>
      <c r="C203" s="7">
        <f>SUM(B200:B203)/COUNT(B200:B203)</f>
        <v>567.70833333333337</v>
      </c>
      <c r="D203" s="33">
        <f>C203/E$3</f>
        <v>1.4402626616265402</v>
      </c>
      <c r="E203" s="34"/>
    </row>
    <row r="204" spans="1:5" x14ac:dyDescent="0.2">
      <c r="A204" s="25">
        <v>45479</v>
      </c>
      <c r="B204" s="5">
        <f t="shared" si="11"/>
        <v>568.33333333333337</v>
      </c>
      <c r="C204" s="13"/>
      <c r="D204" s="31"/>
      <c r="E204" s="32"/>
    </row>
    <row r="205" spans="1:5" x14ac:dyDescent="0.2">
      <c r="A205" s="26">
        <v>45486</v>
      </c>
      <c r="B205" s="5">
        <f t="shared" si="11"/>
        <v>568.33333333333337</v>
      </c>
      <c r="C205" s="4"/>
      <c r="D205" s="29"/>
      <c r="E205" s="30"/>
    </row>
    <row r="206" spans="1:5" x14ac:dyDescent="0.2">
      <c r="A206" s="26">
        <v>45493</v>
      </c>
      <c r="B206" s="5">
        <f t="shared" si="11"/>
        <v>568.33333333333337</v>
      </c>
      <c r="C206" s="4"/>
      <c r="D206" s="29"/>
      <c r="E206" s="30"/>
    </row>
    <row r="207" spans="1:5" ht="13.5" thickBot="1" x14ac:dyDescent="0.25">
      <c r="A207" s="28">
        <v>45500</v>
      </c>
      <c r="B207" s="7">
        <f t="shared" si="11"/>
        <v>568.33333333333337</v>
      </c>
      <c r="C207" s="7">
        <f>SUM(B204:B207)/COUNT(B204:B207)</f>
        <v>568.33333333333337</v>
      </c>
      <c r="D207" s="33">
        <f>C207/E$3</f>
        <v>1.4418482718962209</v>
      </c>
      <c r="E207" s="34"/>
    </row>
    <row r="208" spans="1:5" x14ac:dyDescent="0.2">
      <c r="A208" s="25">
        <v>45507</v>
      </c>
      <c r="B208" s="5">
        <f t="shared" si="11"/>
        <v>568.33333333333337</v>
      </c>
      <c r="C208" s="13"/>
      <c r="D208" s="31"/>
      <c r="E208" s="32"/>
    </row>
    <row r="209" spans="1:5" x14ac:dyDescent="0.2">
      <c r="A209" s="26">
        <v>45514</v>
      </c>
      <c r="B209" s="5">
        <f t="shared" si="11"/>
        <v>568.33333333333337</v>
      </c>
      <c r="C209" s="4"/>
      <c r="D209" s="29"/>
      <c r="E209" s="30"/>
    </row>
    <row r="210" spans="1:5" x14ac:dyDescent="0.2">
      <c r="A210" s="26">
        <v>45521</v>
      </c>
      <c r="B210" s="5">
        <f>(525+600+520+655+500+610)/6</f>
        <v>568.33333333333337</v>
      </c>
      <c r="C210" s="4"/>
      <c r="D210" s="29"/>
      <c r="E210" s="30"/>
    </row>
    <row r="211" spans="1:5" x14ac:dyDescent="0.2">
      <c r="A211" s="14">
        <v>45528</v>
      </c>
      <c r="B211" s="5">
        <f>(525+600+520+655+500+610)/6</f>
        <v>568.33333333333337</v>
      </c>
      <c r="C211" s="4"/>
      <c r="D211" s="29"/>
      <c r="E211" s="30"/>
    </row>
    <row r="212" spans="1:5" ht="13.5" thickBot="1" x14ac:dyDescent="0.25">
      <c r="A212" s="16">
        <v>45535</v>
      </c>
      <c r="B212" s="7">
        <f>(525+600+520+655+500+610)/6</f>
        <v>568.33333333333337</v>
      </c>
      <c r="C212" s="7">
        <f>SUM(B209:B212)/COUNT(B209:B212)</f>
        <v>568.33333333333337</v>
      </c>
      <c r="D212" s="33">
        <f>C212/E$3</f>
        <v>1.4418482718962209</v>
      </c>
      <c r="E212" s="34"/>
    </row>
    <row r="213" spans="1:5" x14ac:dyDescent="0.2">
      <c r="A213" s="25">
        <v>45542</v>
      </c>
      <c r="B213" s="5">
        <f>(500+575+500+655+500+610)/6</f>
        <v>556.66666666666663</v>
      </c>
      <c r="C213" s="13"/>
      <c r="D213" s="31"/>
      <c r="E213" s="32"/>
    </row>
    <row r="214" spans="1:5" x14ac:dyDescent="0.2">
      <c r="A214" s="26">
        <v>45549</v>
      </c>
      <c r="B214" s="21"/>
      <c r="C214" s="4"/>
      <c r="D214" s="29"/>
      <c r="E214" s="30"/>
    </row>
    <row r="215" spans="1:5" x14ac:dyDescent="0.2">
      <c r="A215" s="26">
        <v>45556</v>
      </c>
      <c r="B215" s="21"/>
      <c r="C215" s="4"/>
      <c r="D215" s="29"/>
      <c r="E215" s="30"/>
    </row>
    <row r="216" spans="1:5" ht="13.5" thickBot="1" x14ac:dyDescent="0.25">
      <c r="A216" s="28">
        <v>45563</v>
      </c>
      <c r="B216" s="7"/>
      <c r="C216" s="7">
        <f>SUM(B213:B216)/COUNT(B213:B216)</f>
        <v>556.66666666666663</v>
      </c>
      <c r="D216" s="33">
        <f>C216/E$3</f>
        <v>1.4122502135288495</v>
      </c>
      <c r="E216" s="34"/>
    </row>
  </sheetData>
  <mergeCells count="218">
    <mergeCell ref="D213:E213"/>
    <mergeCell ref="D214:E214"/>
    <mergeCell ref="D215:E215"/>
    <mergeCell ref="D216:E216"/>
    <mergeCell ref="D164:E164"/>
    <mergeCell ref="D173:E173"/>
    <mergeCell ref="D174:E174"/>
    <mergeCell ref="D175:E175"/>
    <mergeCell ref="D176:E176"/>
    <mergeCell ref="D177:E177"/>
    <mergeCell ref="D169:E169"/>
    <mergeCell ref="D170:E170"/>
    <mergeCell ref="D171:E171"/>
    <mergeCell ref="D172:E172"/>
    <mergeCell ref="D165:E165"/>
    <mergeCell ref="D166:E166"/>
    <mergeCell ref="D167:E167"/>
    <mergeCell ref="D168:E168"/>
    <mergeCell ref="A1:E1"/>
    <mergeCell ref="D115:E115"/>
    <mergeCell ref="D116:E116"/>
    <mergeCell ref="D70:E70"/>
    <mergeCell ref="D71:E71"/>
    <mergeCell ref="D73:E73"/>
    <mergeCell ref="D74:E74"/>
    <mergeCell ref="D75:E75"/>
    <mergeCell ref="D76:E76"/>
    <mergeCell ref="D91:E91"/>
    <mergeCell ref="D92:E92"/>
    <mergeCell ref="D94:E94"/>
    <mergeCell ref="D86:E86"/>
    <mergeCell ref="D87:E87"/>
    <mergeCell ref="D88:E88"/>
    <mergeCell ref="D89:E89"/>
    <mergeCell ref="D90:E90"/>
    <mergeCell ref="D72:E72"/>
    <mergeCell ref="D13:E13"/>
    <mergeCell ref="D14:E14"/>
    <mergeCell ref="D15:E15"/>
    <mergeCell ref="D16:E16"/>
    <mergeCell ref="D17:E17"/>
    <mergeCell ref="D18:E18"/>
    <mergeCell ref="D11:E11"/>
    <mergeCell ref="D12:E12"/>
    <mergeCell ref="D54:E54"/>
    <mergeCell ref="D55:E55"/>
    <mergeCell ref="D39:E39"/>
    <mergeCell ref="D40:E40"/>
    <mergeCell ref="D41:E41"/>
    <mergeCell ref="D42:E42"/>
    <mergeCell ref="D43:E43"/>
    <mergeCell ref="D44:E44"/>
    <mergeCell ref="D45:E45"/>
    <mergeCell ref="D46:E46"/>
    <mergeCell ref="D47:E47"/>
    <mergeCell ref="A2:A3"/>
    <mergeCell ref="D2:E2"/>
    <mergeCell ref="D4:E4"/>
    <mergeCell ref="D5:E5"/>
    <mergeCell ref="D6:E6"/>
    <mergeCell ref="C2:C3"/>
    <mergeCell ref="B2:B3"/>
    <mergeCell ref="D7:E7"/>
    <mergeCell ref="D8:E8"/>
    <mergeCell ref="D9:E9"/>
    <mergeCell ref="D10:E10"/>
    <mergeCell ref="D60:E60"/>
    <mergeCell ref="D24:E24"/>
    <mergeCell ref="D25:E25"/>
    <mergeCell ref="D35:E35"/>
    <mergeCell ref="D36:E36"/>
    <mergeCell ref="D37:E37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19:E19"/>
    <mergeCell ref="D20:E20"/>
    <mergeCell ref="D21:E21"/>
    <mergeCell ref="D22:E22"/>
    <mergeCell ref="D23:E23"/>
    <mergeCell ref="D38:E38"/>
    <mergeCell ref="D53:E53"/>
    <mergeCell ref="D102:E102"/>
    <mergeCell ref="D103:E103"/>
    <mergeCell ref="D95:E95"/>
    <mergeCell ref="D96:E96"/>
    <mergeCell ref="D97:E97"/>
    <mergeCell ref="D98:E98"/>
    <mergeCell ref="D93:E93"/>
    <mergeCell ref="D48:E48"/>
    <mergeCell ref="D49:E49"/>
    <mergeCell ref="D50:E50"/>
    <mergeCell ref="D51:E51"/>
    <mergeCell ref="D65:E65"/>
    <mergeCell ref="D66:E66"/>
    <mergeCell ref="D67:E67"/>
    <mergeCell ref="D68:E68"/>
    <mergeCell ref="D69:E69"/>
    <mergeCell ref="D61:E61"/>
    <mergeCell ref="D62:E62"/>
    <mergeCell ref="D63:E63"/>
    <mergeCell ref="D64:E64"/>
    <mergeCell ref="D56:E56"/>
    <mergeCell ref="D57:E57"/>
    <mergeCell ref="D58:E58"/>
    <mergeCell ref="D59:E59"/>
    <mergeCell ref="D126:E126"/>
    <mergeCell ref="D127:E127"/>
    <mergeCell ref="D128:E128"/>
    <mergeCell ref="D129:E129"/>
    <mergeCell ref="D112:E112"/>
    <mergeCell ref="D113:E113"/>
    <mergeCell ref="D114:E114"/>
    <mergeCell ref="D52:E52"/>
    <mergeCell ref="D104:E104"/>
    <mergeCell ref="D105:E105"/>
    <mergeCell ref="D106:E106"/>
    <mergeCell ref="D107:E107"/>
    <mergeCell ref="D77:E77"/>
    <mergeCell ref="D82:E82"/>
    <mergeCell ref="D83:E83"/>
    <mergeCell ref="D84:E84"/>
    <mergeCell ref="D85:E85"/>
    <mergeCell ref="D78:E78"/>
    <mergeCell ref="D79:E79"/>
    <mergeCell ref="D80:E80"/>
    <mergeCell ref="D81:E81"/>
    <mergeCell ref="D99:E99"/>
    <mergeCell ref="D100:E100"/>
    <mergeCell ref="D101:E101"/>
    <mergeCell ref="D108:E108"/>
    <mergeCell ref="D109:E109"/>
    <mergeCell ref="D110:E110"/>
    <mergeCell ref="D111:E111"/>
    <mergeCell ref="D121:E121"/>
    <mergeCell ref="D122:E122"/>
    <mergeCell ref="D123:E123"/>
    <mergeCell ref="D124:E124"/>
    <mergeCell ref="D125:E125"/>
    <mergeCell ref="D117:E117"/>
    <mergeCell ref="D118:E118"/>
    <mergeCell ref="D119:E119"/>
    <mergeCell ref="D120:E120"/>
    <mergeCell ref="D143:E143"/>
    <mergeCell ref="D144:E144"/>
    <mergeCell ref="D145:E145"/>
    <mergeCell ref="D146:E146"/>
    <mergeCell ref="D134:E134"/>
    <mergeCell ref="D135:E135"/>
    <mergeCell ref="D136:E136"/>
    <mergeCell ref="D137:E137"/>
    <mergeCell ref="D130:E130"/>
    <mergeCell ref="D131:E131"/>
    <mergeCell ref="D132:E132"/>
    <mergeCell ref="D133:E133"/>
    <mergeCell ref="D138:E138"/>
    <mergeCell ref="D139:E139"/>
    <mergeCell ref="D140:E140"/>
    <mergeCell ref="D141:E141"/>
    <mergeCell ref="D142:E142"/>
    <mergeCell ref="D197:E197"/>
    <mergeCell ref="D198:E198"/>
    <mergeCell ref="D191:E191"/>
    <mergeCell ref="D192:E192"/>
    <mergeCell ref="D193:E193"/>
    <mergeCell ref="D194:E194"/>
    <mergeCell ref="D199:E199"/>
    <mergeCell ref="D160:E160"/>
    <mergeCell ref="D147:E147"/>
    <mergeCell ref="D148:E148"/>
    <mergeCell ref="D149:E149"/>
    <mergeCell ref="D150:E150"/>
    <mergeCell ref="D156:E156"/>
    <mergeCell ref="D157:E157"/>
    <mergeCell ref="D158:E158"/>
    <mergeCell ref="D159:E159"/>
    <mergeCell ref="D151:E151"/>
    <mergeCell ref="D152:E152"/>
    <mergeCell ref="D153:E153"/>
    <mergeCell ref="D154:E154"/>
    <mergeCell ref="D155:E155"/>
    <mergeCell ref="D161:E161"/>
    <mergeCell ref="D162:E162"/>
    <mergeCell ref="D163:E163"/>
    <mergeCell ref="D195:E195"/>
    <mergeCell ref="D196:E196"/>
    <mergeCell ref="D178:E178"/>
    <mergeCell ref="D179:E179"/>
    <mergeCell ref="D180:E180"/>
    <mergeCell ref="D181:E181"/>
    <mergeCell ref="D186:E186"/>
    <mergeCell ref="D187:E187"/>
    <mergeCell ref="D188:E188"/>
    <mergeCell ref="D189:E189"/>
    <mergeCell ref="D190:E190"/>
    <mergeCell ref="D182:E182"/>
    <mergeCell ref="D183:E183"/>
    <mergeCell ref="D184:E184"/>
    <mergeCell ref="D185:E185"/>
    <mergeCell ref="D200:E200"/>
    <mergeCell ref="D201:E201"/>
    <mergeCell ref="D208:E208"/>
    <mergeCell ref="D209:E209"/>
    <mergeCell ref="D210:E210"/>
    <mergeCell ref="D211:E211"/>
    <mergeCell ref="D212:E212"/>
    <mergeCell ref="D204:E204"/>
    <mergeCell ref="D205:E205"/>
    <mergeCell ref="D206:E206"/>
    <mergeCell ref="D207:E207"/>
    <mergeCell ref="D202:E202"/>
    <mergeCell ref="D203:E203"/>
  </mergeCells>
  <phoneticPr fontId="0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2"/>
  <sheetViews>
    <sheetView workbookViewId="0">
      <selection activeCell="C22" sqref="C22"/>
    </sheetView>
  </sheetViews>
  <sheetFormatPr defaultRowHeight="12.75" x14ac:dyDescent="0.2"/>
  <cols>
    <col min="1" max="1" width="18" bestFit="1" customWidth="1"/>
    <col min="2" max="2" width="15.7109375" customWidth="1"/>
    <col min="3" max="3" width="32.7109375" customWidth="1"/>
  </cols>
  <sheetData>
    <row r="1" spans="1:11" ht="15" customHeight="1" thickBot="1" x14ac:dyDescent="0.25">
      <c r="A1" s="19" t="s">
        <v>10</v>
      </c>
      <c r="B1" s="20"/>
      <c r="C1" s="20"/>
    </row>
    <row r="2" spans="1:11" ht="41.25" customHeight="1" thickBot="1" x14ac:dyDescent="0.25">
      <c r="A2" s="22" t="s">
        <v>0</v>
      </c>
      <c r="B2" s="23" t="s">
        <v>3</v>
      </c>
      <c r="C2" s="24" t="s">
        <v>6</v>
      </c>
    </row>
    <row r="3" spans="1:11" ht="13.5" hidden="1" thickBot="1" x14ac:dyDescent="0.25">
      <c r="A3" s="2"/>
      <c r="B3" s="5"/>
      <c r="C3" s="4"/>
    </row>
    <row r="4" spans="1:11" ht="13.5" hidden="1" thickBot="1" x14ac:dyDescent="0.25">
      <c r="A4" s="2"/>
      <c r="B4" s="5"/>
      <c r="C4" s="4"/>
    </row>
    <row r="5" spans="1:11" ht="13.5" hidden="1" thickBot="1" x14ac:dyDescent="0.25">
      <c r="A5" s="2"/>
      <c r="B5" s="5"/>
      <c r="C5" s="4" t="s">
        <v>4</v>
      </c>
    </row>
    <row r="6" spans="1:11" ht="13.5" thickBot="1" x14ac:dyDescent="0.25">
      <c r="A6" s="17">
        <v>44107</v>
      </c>
      <c r="B6" s="10">
        <f t="shared" ref="B6:B10" si="0">(320+380+390+445+380+450)/6</f>
        <v>394.16666666666669</v>
      </c>
      <c r="C6" s="18"/>
    </row>
    <row r="7" spans="1:11" x14ac:dyDescent="0.2">
      <c r="A7" s="2">
        <v>44114</v>
      </c>
      <c r="B7" s="11">
        <f t="shared" si="0"/>
        <v>394.16666666666669</v>
      </c>
      <c r="C7" s="4"/>
    </row>
    <row r="8" spans="1:11" x14ac:dyDescent="0.2">
      <c r="A8" s="2">
        <v>44121</v>
      </c>
      <c r="B8" s="11">
        <f t="shared" si="0"/>
        <v>394.16666666666669</v>
      </c>
      <c r="C8" s="4"/>
    </row>
    <row r="9" spans="1:11" x14ac:dyDescent="0.2">
      <c r="A9" s="2">
        <v>44128</v>
      </c>
      <c r="B9" s="11">
        <f t="shared" si="0"/>
        <v>394.16666666666669</v>
      </c>
      <c r="C9" s="4"/>
      <c r="D9" t="s">
        <v>4</v>
      </c>
    </row>
    <row r="10" spans="1:11" ht="13.5" thickBot="1" x14ac:dyDescent="0.25">
      <c r="A10" s="15">
        <v>44135</v>
      </c>
      <c r="B10" s="6">
        <f t="shared" si="0"/>
        <v>394.16666666666669</v>
      </c>
      <c r="C10" s="18">
        <f>SUM(B7:B10)/COUNTA(B7:B10)</f>
        <v>394.16666666666669</v>
      </c>
    </row>
    <row r="11" spans="1:11" x14ac:dyDescent="0.2">
      <c r="F11" t="s">
        <v>4</v>
      </c>
      <c r="H11" t="s">
        <v>4</v>
      </c>
      <c r="J11" t="s">
        <v>4</v>
      </c>
    </row>
    <row r="12" spans="1:11" x14ac:dyDescent="0.2">
      <c r="C12" t="s">
        <v>4</v>
      </c>
      <c r="E12" t="s">
        <v>4</v>
      </c>
      <c r="F12" t="s">
        <v>4</v>
      </c>
      <c r="G12" t="s">
        <v>4</v>
      </c>
      <c r="H12" t="s">
        <v>4</v>
      </c>
      <c r="K12" t="s">
        <v>4</v>
      </c>
    </row>
    <row r="13" spans="1:11" x14ac:dyDescent="0.2">
      <c r="F13" t="s">
        <v>4</v>
      </c>
    </row>
    <row r="14" spans="1:11" x14ac:dyDescent="0.2">
      <c r="F14" t="s">
        <v>4</v>
      </c>
      <c r="G14" t="s">
        <v>4</v>
      </c>
      <c r="H14" t="s">
        <v>4</v>
      </c>
      <c r="I14" t="s">
        <v>4</v>
      </c>
      <c r="K14" t="s">
        <v>4</v>
      </c>
    </row>
    <row r="15" spans="1:11" x14ac:dyDescent="0.2">
      <c r="E15" t="s">
        <v>4</v>
      </c>
      <c r="F15" t="s">
        <v>4</v>
      </c>
      <c r="G15" t="s">
        <v>4</v>
      </c>
    </row>
    <row r="16" spans="1:11" x14ac:dyDescent="0.2">
      <c r="E16" t="s">
        <v>4</v>
      </c>
      <c r="F16" t="s">
        <v>4</v>
      </c>
      <c r="G16" t="s">
        <v>5</v>
      </c>
      <c r="H16" t="s">
        <v>4</v>
      </c>
      <c r="K16" t="s">
        <v>4</v>
      </c>
    </row>
    <row r="17" spans="6:11" x14ac:dyDescent="0.2">
      <c r="F17" t="s">
        <v>4</v>
      </c>
    </row>
    <row r="18" spans="6:11" x14ac:dyDescent="0.2">
      <c r="F18" t="s">
        <v>4</v>
      </c>
      <c r="H18" t="s">
        <v>4</v>
      </c>
    </row>
    <row r="19" spans="6:11" x14ac:dyDescent="0.2">
      <c r="H19" t="s">
        <v>4</v>
      </c>
    </row>
    <row r="20" spans="6:11" x14ac:dyDescent="0.2">
      <c r="G20" t="s">
        <v>4</v>
      </c>
      <c r="H20" t="s">
        <v>4</v>
      </c>
      <c r="I20" t="s">
        <v>4</v>
      </c>
    </row>
    <row r="21" spans="6:11" x14ac:dyDescent="0.2">
      <c r="K21" t="s">
        <v>4</v>
      </c>
    </row>
    <row r="22" spans="6:11" x14ac:dyDescent="0.2">
      <c r="G22" t="s">
        <v>5</v>
      </c>
      <c r="J22" t="s">
        <v>4</v>
      </c>
    </row>
  </sheetData>
  <phoneticPr fontId="0" type="noConversion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MPPI</vt:lpstr>
      <vt:lpstr>BPI</vt:lpstr>
      <vt:lpstr>MPPI!Print_Titles</vt:lpstr>
    </vt:vector>
  </TitlesOfParts>
  <Company>CFLHD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Information Technology Services</dc:creator>
  <cp:lastModifiedBy>michael.marandi@dot.gov</cp:lastModifiedBy>
  <cp:lastPrinted>2014-09-22T18:25:30Z</cp:lastPrinted>
  <dcterms:created xsi:type="dcterms:W3CDTF">2006-01-30T17:20:09Z</dcterms:created>
  <dcterms:modified xsi:type="dcterms:W3CDTF">2024-09-10T14:13:52Z</dcterms:modified>
</cp:coreProperties>
</file>