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codeName="ThisWorkbook" defaultThemeVersion="166925"/>
  <mc:AlternateContent xmlns:mc="http://schemas.openxmlformats.org/markup-compatibility/2006">
    <mc:Choice Requires="x15">
      <x15ac:absPath xmlns:x15ac="http://schemas.microsoft.com/office/spreadsheetml/2010/11/ac" url="C:\Users\tami.le.ctr\Desktop\FHWA Safety\hsip planning\"/>
    </mc:Choice>
  </mc:AlternateContent>
  <xr:revisionPtr revIDLastSave="0" documentId="8_{2DB4998D-C4F8-40C8-9807-3F4444D5A755}" xr6:coauthVersionLast="47" xr6:coauthVersionMax="47" xr10:uidLastSave="{00000000-0000-0000-0000-000000000000}"/>
  <bookViews>
    <workbookView xWindow="5070" yWindow="2490" windowWidth="21600" windowHeight="11385" tabRatio="907" xr2:uid="{00000000-000D-0000-FFFF-FFFF00000000}"/>
  </bookViews>
  <sheets>
    <sheet name="Home Page" sheetId="14" r:id="rId1"/>
    <sheet name="Instructions" sheetId="15" r:id="rId2"/>
    <sheet name="1) Project Information" sheetId="1" r:id="rId3"/>
    <sheet name="2) Project Crash Data" sheetId="22" r:id="rId4"/>
    <sheet name="3) Analysis Parameters" sheetId="21" r:id="rId5"/>
    <sheet name="4) Results" sheetId="17" r:id="rId6"/>
    <sheet name="Crash Benefits" sheetId="13" r:id="rId7"/>
    <sheet name="Travel Time Benefits" sheetId="7" r:id="rId8"/>
    <sheet name="LinkCharacteristics" sheetId="24" state="hidden" r:id="rId9"/>
    <sheet name="Reliability Benefits" sheetId="23" r:id="rId10"/>
    <sheet name="Vehicle Operation Benefits" sheetId="8" r:id="rId11"/>
    <sheet name="Emission Benefits" sheetId="5" r:id="rId12"/>
    <sheet name="Lookup" sheetId="20" r:id="rId13"/>
    <sheet name="Final Calculations" sheetId="18" r:id="rId14"/>
  </sheets>
  <externalReferences>
    <externalReference r:id="rId15"/>
    <externalReference r:id="rId16"/>
  </externalReferences>
  <definedNames>
    <definedName name="_Ref497200576" localSheetId="2">'1) Project Information'!$P$3</definedName>
    <definedName name="_Toc507103938" localSheetId="1">Instructions!$F$29</definedName>
    <definedName name="AccReduceFac">#REF!</definedName>
    <definedName name="AccStAvgB">'[1]1) Project Information'!$Q$19</definedName>
    <definedName name="AccStAvgNB">'[1]1) Project Information'!$P$19</definedName>
    <definedName name="adjustmentFactor">[2]Parameters!$P$12</definedName>
    <definedName name="ADT0">'[1]1) Project Information'!$G$36</definedName>
    <definedName name="ADT1B">'[1]1) Project Information'!$H$38</definedName>
    <definedName name="ADT1NB">'[1]1) Project Information'!$G$38</definedName>
    <definedName name="ADT20B">'[1]1) Project Information'!$H$39</definedName>
    <definedName name="ADT20NB">'[1]1) Project Information'!$G$39</definedName>
    <definedName name="AnalysisParametersHeader">Instructions!#REF!</definedName>
    <definedName name="AnnualFactor">[1]PARAMETERS!$M$24</definedName>
    <definedName name="APHeader">Instructions!#REF!</definedName>
    <definedName name="ArrRate1">'[1]1) Project Information'!$G$51</definedName>
    <definedName name="ArrRate20">'[1]1) Project Information'!$H$51</definedName>
    <definedName name="ASM">[1]PARAMETERS!$AA$40</definedName>
    <definedName name="AuxLane">[1]PARAMETERS!$AA$26</definedName>
    <definedName name="AVL">[1]PARAMETERS!$AA$41</definedName>
    <definedName name="AVLCapSaving">[1]PARAMETERS!$DW$37</definedName>
    <definedName name="AvlOMsaving">[1]PARAMETERS!$DX$37</definedName>
    <definedName name="AVLTTsaving">[1]PARAMETERS!$DV$37</definedName>
    <definedName name="AVOHovB">'[1]1) Project Information'!$H$61</definedName>
    <definedName name="AVOHovNB">'[1]1) Project Information'!$G$61</definedName>
    <definedName name="AVONonB">'[1]1) Project Information'!$H$59</definedName>
    <definedName name="AVONonNB">'[1]1) Project Information'!$G$59</definedName>
    <definedName name="AVOPeakB">'[1]1) Project Information'!$H$60</definedName>
    <definedName name="AVOPeakNB">'[1]1) Project Information'!$G$60</definedName>
    <definedName name="Ben_Anchor2">Instructions!#REF!</definedName>
    <definedName name="Benefits_Anchor">Instructions!#REF!</definedName>
    <definedName name="BRT">[1]PARAMETERS!$AA$43</definedName>
    <definedName name="BrtTTsaving">[1]PARAMETERS!$DV$39</definedName>
    <definedName name="Bus">[1]PARAMETERS!$AA$22</definedName>
    <definedName name="Calc_Method">Lookup!$R$60:$R$64</definedName>
    <definedName name="calculatedBaselineCapacity">'1) Project Information'!$D$29</definedName>
    <definedName name="calculatedImprovementSpeed">[2]RWM!$AB$25</definedName>
    <definedName name="Case_Type">Lookup!$R$39:$R$43</definedName>
    <definedName name="Construct">'[1]1) Project Information'!$F$14</definedName>
    <definedName name="Cost_Anchor">'1) Project Information'!$B$76</definedName>
    <definedName name="costsEquipmentStart">'[2]Costs Template'!$I$48</definedName>
    <definedName name="costsInfrastructureStart">'[2]Costs Template'!$I$12</definedName>
    <definedName name="Crash">Instructions!#REF!</definedName>
    <definedName name="Crash_anchor">'1) Project Information'!#REF!</definedName>
    <definedName name="Crash2">Instructions!#REF!</definedName>
    <definedName name="defaultFFS">'1) Project Information'!$D$27</definedName>
    <definedName name="DepRate1">'[1]1) Project Information'!$G$52</definedName>
    <definedName name="DepRate20">'[1]1) Project Information'!$H$52</definedName>
    <definedName name="DepRateConv">[1]PARAMETERS!$O$30</definedName>
    <definedName name="DepRateExp">[1]PARAMETERS!$O$29</definedName>
    <definedName name="DepRateFwy">[1]PARAMETERS!$O$28</definedName>
    <definedName name="Different_Method">Lookup!$R$56:$R$59</definedName>
    <definedName name="DiscRate">[1]PARAMETERS!$F$12</definedName>
    <definedName name="facilityTypeId">LinkCharacteristics!$D$4:$D$8</definedName>
    <definedName name="facilityTypeName">LinkCharacteristics!$D$4:$D$8</definedName>
    <definedName name="facilityTypes">LinkCharacteristics!$C$4:$H$19</definedName>
    <definedName name="Fat3Yr">'[1]1) Project Information'!$Q$12</definedName>
    <definedName name="FatalRateNB">#REF!</definedName>
    <definedName name="FFSpeedB">'[1]1) Project Information'!$H$30</definedName>
    <definedName name="FFSpeedNB">'[1]1) Project Information'!$G$30</definedName>
    <definedName name="FinalCalcs_Anchor2">Instructions!#REF!</definedName>
    <definedName name="FreeConn">[1]PARAMETERS!$AA$27</definedName>
    <definedName name="GateTime0">'1) Project Information'!#REF!</definedName>
    <definedName name="GateTime1">'[1]1) Project Information'!$P$49</definedName>
    <definedName name="GateTime20">'[1]1) Project Information'!$Q$49</definedName>
    <definedName name="GenAlphaB">[1]PARAMETERS!$L$36</definedName>
    <definedName name="GenAlphaNB">[1]PARAMETERS!$L$35</definedName>
    <definedName name="GenBetaB">[1]PARAMETERS!$M$36</definedName>
    <definedName name="GenBetaNB">[1]PARAMETERS!$M$35</definedName>
    <definedName name="GenLaneCapB">[1]PARAMETERS!$N$36</definedName>
    <definedName name="GenLaneCapNB">[1]PARAMETERS!$N$35</definedName>
    <definedName name="GenLanesB">'[1]1) Project Information'!$H$25</definedName>
    <definedName name="GenLanesNB">'[1]1) Project Information'!$G$25</definedName>
    <definedName name="globalIfErrorResult">[2]Control!$F$11</definedName>
    <definedName name="Highway_Type">Lookup!$C$9:$C$13</definedName>
    <definedName name="Highway_Type2">#REF!</definedName>
    <definedName name="Highway_Type3">Lookup!$C$9:$C$13</definedName>
    <definedName name="HOV2to3">[1]PARAMETERS!$AA$32</definedName>
    <definedName name="HOVAlpha">[1]PARAMETERS!$L$31</definedName>
    <definedName name="HOVBeta">[1]PARAMETERS!$M$31</definedName>
    <definedName name="HOVConn">[1]PARAMETERS!$AA$28</definedName>
    <definedName name="HOVDrop">[1]PARAMETERS!$AA$29</definedName>
    <definedName name="HOVLaneCap">[1]PARAMETERS!$N$31</definedName>
    <definedName name="HOVLanesB">'[1]1) Project Information'!$H$26</definedName>
    <definedName name="HOVLanesNB">'[1]1) Project Information'!$G$26</definedName>
    <definedName name="HOVRest">'1) Project Information'!#REF!</definedName>
    <definedName name="HOVvolB">'[1]1) Project Information'!$H$40</definedName>
    <definedName name="HOVvolNB">'[1]1) Project Information'!$G$40</definedName>
    <definedName name="HwyRail">[1]PARAMETERS!$AA$23</definedName>
    <definedName name="IdleSpeed">[1]PARAMETERS!$E$57</definedName>
    <definedName name="IM">[1]PARAMETERS!$AA$38</definedName>
    <definedName name="ImpactedNB">'[1]1) Project Information'!$G$33</definedName>
    <definedName name="incidentDelayRates" comment="The non-recurring delay rates for travel time reliability calculation">[2]Parameters!$AP$11:$AT$90</definedName>
    <definedName name="Inj3Yr">'[1]1) Project Information'!$Q$13</definedName>
    <definedName name="InjuryRateNB">#REF!</definedName>
    <definedName name="inputFacilityType">'1) Project Information'!$D$12</definedName>
    <definedName name="inputFFS">'1) Project Information'!$E$27</definedName>
    <definedName name="inputLinkVolume">'1) Project Information'!$D$28</definedName>
    <definedName name="Intersect">[1]PARAMETERS!$AA$14</definedName>
    <definedName name="investigateImpactsMenuStart">[2]links!#REF!</definedName>
    <definedName name="IRI1B">'[1]1) Project Information'!$H$55</definedName>
    <definedName name="IRI1NB">'[1]1) Project Information'!$G$55</definedName>
    <definedName name="IRI20B">'[1]1) Project Information'!$H$56</definedName>
    <definedName name="IRI20NB">'[1]1) Project Information'!$G$56</definedName>
    <definedName name="LifeCycleAcc">'4) Results'!$L$9</definedName>
    <definedName name="LifeCycleBene">'[1]Final Calculations'!$O$55</definedName>
    <definedName name="LifeCycleCost">'[1]Final Calculations'!$P$55</definedName>
    <definedName name="LifeCycleEm">'4) Results'!$L$12</definedName>
    <definedName name="LifeCycleTT">'4) Results'!#REF!</definedName>
    <definedName name="LifeCycleVOC">'4) Results'!$L$11</definedName>
    <definedName name="Lookup_Anchor">Instructions!#REF!</definedName>
    <definedName name="LRT">[1]PARAMETERS!$AA$21</definedName>
    <definedName name="Magnitude">Lookup!$R$45:$R$47</definedName>
    <definedName name="MaxVC">[1]PARAMETERS!$M$19</definedName>
    <definedName name="methodsAndToolsMenuStart">[2]links!#REF!</definedName>
    <definedName name="NetPresentValue">'[1]Final Calculations'!$Q$55</definedName>
    <definedName name="NNS1B">#REF!</definedName>
    <definedName name="NNS1NB">#REF!</definedName>
    <definedName name="NNS20B">#REF!</definedName>
    <definedName name="NNS20NB">#REF!</definedName>
    <definedName name="NTV1B">#REF!</definedName>
    <definedName name="NTV1NB">#REF!</definedName>
    <definedName name="NTV20B">#REF!</definedName>
    <definedName name="NTV20NB">#REF!</definedName>
    <definedName name="NumDirections">'[1]1) Project Information'!$F$15</definedName>
    <definedName name="NumTrain0">'1) Project Information'!#REF!</definedName>
    <definedName name="NumTrain1">'[1]1) Project Information'!$P$48</definedName>
    <definedName name="NumTrain20">'[1]1) Project Information'!$Q$48</definedName>
    <definedName name="NWS1B">#REF!</definedName>
    <definedName name="NWS1NB">#REF!</definedName>
    <definedName name="NWS20B">#REF!</definedName>
    <definedName name="NWS20NB">#REF!</definedName>
    <definedName name="NWV1B">#REF!</definedName>
    <definedName name="NWV1NB">#REF!</definedName>
    <definedName name="NWV20B">#REF!</definedName>
    <definedName name="NWV20NB">#REF!</definedName>
    <definedName name="OffRamp">[1]PARAMETERS!$AA$30</definedName>
    <definedName name="OnRamp">[1]PARAMETERS!$AA$31</definedName>
    <definedName name="openingScreenTitle">'[2]OPENING SCREEN'!$B$24</definedName>
    <definedName name="overrideBaselineCapacity">'1) Project Information'!$E$29</definedName>
    <definedName name="overrideBaselineSpeed">[2]RWM!$V$25</definedName>
    <definedName name="overrideImprovementSpeed">[2]RWM!$Z$25</definedName>
    <definedName name="parameterAnalysisPeriodsPerYear" comment="The default analysis periods per year if not specified by the user">[2]Parameters!$P$15</definedName>
    <definedName name="parameterAutoValueOfTime" comment="The default value of time applied to auto occupants engaged in non-commercial travel activity, if not specified by the user">[2]Parameters!$W$11</definedName>
    <definedName name="parameterAutoValueOfTimeDelay" comment="The default value of time applied to auto occupants engaged in non-commercial travel activity, for non-recurring delay hours, if not specified by the user">[2]Parameters!$W$15</definedName>
    <definedName name="parameterAverageAutoOccupancy" comment="The average auto occupancy">[2]Parameters!$P$23</definedName>
    <definedName name="parameterCommercialAutoValueOfTime" comment="The default value of time applied to auto occupants engaged in commercial travel activity, if not specified by the user">[2]Parameters!$W$10</definedName>
    <definedName name="parameterCommercialAutoValueOfTimeDelay" comment="The default value of time applied to auto occupants engaged in commercial travel activity, for non-recurring delay hours, if not specified by the user">[2]Parameters!$W$14</definedName>
    <definedName name="parameterDiscountRate" comment="The default discount rate used if a value is not specified by the user">[2]Parameters!$P$26</definedName>
    <definedName name="parameterFatalityValuation" comment="The default dollar valuation of a fatality crash">[2]Parameters!$W$19</definedName>
    <definedName name="parameterFuelCostGallon" comment="The cost of fuel per gallon">[2]Parameters!$W$24</definedName>
    <definedName name="parameterFuelEconomyAuto" comment="Miles per Gallon of fuel used for autos">[2]Parameters!$AN$8</definedName>
    <definedName name="parameterFuelEconomyTruck" comment="Miles per gallon of fuel used for trucks">[2]Parameters!$AN$9</definedName>
    <definedName name="parameterInjuryValuation" comment="The default dollar valuation of an injury crash">[2]Parameters!$W$20</definedName>
    <definedName name="parameterPDOValuation" comment="The default dollar valuation of a property damage crash">[2]Parameters!$W$21</definedName>
    <definedName name="parameterPercentCommercialAuto" comment="The percentage of traffic that is comprised of auto traffic engaged in commercial travel activity">[2]Parameters!$P$22</definedName>
    <definedName name="parameterPercentTrucks" comment="The percentage of traffic that is comprised of truck traffic">[2]Parameters!$P$21</definedName>
    <definedName name="parameterTruckValueOfTime" comment="The default value of time applied to truck occupants, if not specified by the user">[2]Parameters!$W$12</definedName>
    <definedName name="parameterTruckValueOfTimeDelay" comment="The default value of time applied to truck occupants, for non-recurring delay hours, if not specified by the user">[2]Parameters!$W$16</definedName>
    <definedName name="PassAccReduce">[1]PARAMETERS!$BG$64:$BJ$66</definedName>
    <definedName name="Passing">[1]PARAMETERS!$AA$13</definedName>
    <definedName name="PassRail">[1]PARAMETERS!$AA$20</definedName>
    <definedName name="PaveDet">[1]PARAMETERS!$CX$13:$DA$31</definedName>
    <definedName name="Pavement">[1]PARAMETERS!$AA$17</definedName>
    <definedName name="Payback">'[1]Final Calculations'!$AM$58</definedName>
    <definedName name="Pdo3Yr">'[1]1) Project Information'!$Q$14</definedName>
    <definedName name="PDORateNB">#REF!</definedName>
    <definedName name="PeakLngthNB">'[1]1) Project Information'!$F$17</definedName>
    <definedName name="PerPeakADT">[1]PARAMETERS!$M$21</definedName>
    <definedName name="PerPeakAvgHr">[1]PARAMETERS!$M$22</definedName>
    <definedName name="PerTruckB">'[1]1) Project Information'!$H$43</definedName>
    <definedName name="PerTruckNB">'[1]1) Project Information'!$G$43</definedName>
    <definedName name="PerWeaveB">'[1]1) Project Information'!$H$42</definedName>
    <definedName name="PerWeaveNB">'[1]1) Project Information'!$G$42</definedName>
    <definedName name="PFatStAvgB">'[1]1) Project Information'!$Q$20</definedName>
    <definedName name="PFatStAvgNB">'[1]1) Project Information'!$P$20</definedName>
    <definedName name="PHV1B">#REF!</definedName>
    <definedName name="PHV1NB">#REF!</definedName>
    <definedName name="PHV20B">#REF!</definedName>
    <definedName name="PHV20NB">#REF!</definedName>
    <definedName name="PIHeader">Instructions!#REF!</definedName>
    <definedName name="PInjStAvgB">'[1]1) Project Information'!$Q$21</definedName>
    <definedName name="PInjStAvgNB">'[1]1) Project Information'!$P$21</definedName>
    <definedName name="PNS1B">#REF!</definedName>
    <definedName name="PNS1NB">#REF!</definedName>
    <definedName name="PNS20B">#REF!</definedName>
    <definedName name="PNS20NB">#REF!</definedName>
    <definedName name="_xlnm.Print_Area" localSheetId="2">'1) Project Information'!$B$1:$I$102</definedName>
    <definedName name="_xlnm.Print_Area" localSheetId="13">'Final Calculations'!$B$1:$J$72</definedName>
    <definedName name="_xlnm.Print_Area" localSheetId="12">Lookup!$A$1:$AO$36</definedName>
    <definedName name="PrjInfo_Anchor">'1) Project Information'!$B$1</definedName>
    <definedName name="ProjectInfoHeader">Instructions!#REF!</definedName>
    <definedName name="ProjName">'[1]1) Project Information'!$E$4</definedName>
    <definedName name="ProjType">'1) Project Information'!#REF!</definedName>
    <definedName name="ProjTypeList">[1]PARAMETERS!$Z$8:$Z$43</definedName>
    <definedName name="PTV1B">#REF!</definedName>
    <definedName name="PTV1NB">#REF!</definedName>
    <definedName name="PTV20B">#REF!</definedName>
    <definedName name="PTV20NB">#REF!</definedName>
    <definedName name="PWS1B">#REF!</definedName>
    <definedName name="PWS1NB">#REF!</definedName>
    <definedName name="PWS20B">#REF!</definedName>
    <definedName name="PWS20NB">#REF!</definedName>
    <definedName name="PWV1B">#REF!</definedName>
    <definedName name="PWV1NB">#REF!</definedName>
    <definedName name="PWV20B">#REF!</definedName>
    <definedName name="PWV20NB">#REF!</definedName>
    <definedName name="Queuing">[1]PARAMETERS!$AA$16</definedName>
    <definedName name="RADataAvail">#REF!</definedName>
    <definedName name="RailGradeFatRate">[1]PARAMETERS!$BI$51</definedName>
    <definedName name="RailGradeInjRate">[1]PARAMETERS!$BJ$51</definedName>
    <definedName name="RampFFSpdB">'[1]1) Project Information'!$H$31</definedName>
    <definedName name="RampFFSpdNB">'[1]1) Project Information'!$G$31</definedName>
    <definedName name="rampMeteringTypes">'[2]deployment support'!$F$3:$I$5</definedName>
    <definedName name="RampVolNP">'[1]1) Project Information'!$H$47</definedName>
    <definedName name="RampVolP">'[1]1) Project Information'!$G$47</definedName>
    <definedName name="Rel_Anchor">'1) Project Information'!$B$118</definedName>
    <definedName name="ResultsHeader">Instructions!#REF!</definedName>
    <definedName name="ReturnOnInvest">'[1]Final Calculations'!$AM$54</definedName>
    <definedName name="RM">[1]PARAMETERS!$AA$36</definedName>
    <definedName name="Road_Type">Lookup!$C$8:$C$14</definedName>
    <definedName name="RoadTypeNB">'1) Project Information'!#REF!</definedName>
    <definedName name="Same_Method">Lookup!$R$49:$R$54</definedName>
    <definedName name="SegmentB">'[1]1) Project Information'!$H$32</definedName>
    <definedName name="SegmentNB">'[1]1) Project Information'!$G$32</definedName>
    <definedName name="SHRP2_HWY">#REF!</definedName>
    <definedName name="signalizationTimingTypes">'[2]deployment support'!$C$3:$E$5</definedName>
    <definedName name="SigPriority">[1]PARAMETERS!$AA$42</definedName>
    <definedName name="SigTTsaving">[1]PARAMETERS!$DV$38</definedName>
    <definedName name="Single_Multiple">Lookup!$R$36:$R$37</definedName>
    <definedName name="SpeedPavAdj">[1]PARAMETERS!$DE$13:$DG$31</definedName>
    <definedName name="SpeedWeaveAdj">[1]PARAMETERS!$DL$13:$DN$53</definedName>
    <definedName name="StateFatRate">[1]PARAMETERS!$E$77</definedName>
    <definedName name="StateInjRate">[1]PARAMETERS!$E$78</definedName>
    <definedName name="StatePDORate">[1]PARAMETERS!$E$79</definedName>
    <definedName name="TAPT1B">'[1]1) Project Information'!$Q$28</definedName>
    <definedName name="TAPT1NB">'[1]1) Project Information'!$P$28</definedName>
    <definedName name="TAPT20B">'[1]1) Project Information'!$Q$29</definedName>
    <definedName name="TAPT20NB">'[1]1) Project Information'!$P$29</definedName>
    <definedName name="TCapCostB">'1) Project Information'!#REF!</definedName>
    <definedName name="TCapCostNB">'1) Project Information'!$D$119</definedName>
    <definedName name="Terrain">#REF!</definedName>
    <definedName name="TInTimeNBN">'1) Project Information'!$E$105</definedName>
    <definedName name="TInTimeNBP">'1) Project Information'!#REF!</definedName>
    <definedName name="TMSAdj">[1]PARAMETERS!$DS$13:$EA$23</definedName>
    <definedName name="TMSLookup">[1]PARAMETERS!$AA$45</definedName>
    <definedName name="TOMCostB">'1) Project Information'!#REF!</definedName>
    <definedName name="TOMCostNB">'1) Project Information'!#REF!</definedName>
    <definedName name="TopAnchor">Instructions!$C$1</definedName>
    <definedName name="TOutTimeNBN">'1) Project Information'!#REF!</definedName>
    <definedName name="TOutTimeNBP">'1) Project Information'!#REF!</definedName>
    <definedName name="TPerHwy">'[1]1) Project Information'!$Q$31</definedName>
    <definedName name="TPerPeak">'[1]1) Project Information'!$P$30</definedName>
    <definedName name="travelerInformationTypes">'[2]deployment support'!$J$3:$K$5</definedName>
    <definedName name="TruckSpeed">'[1]1) Project Information'!$G$44</definedName>
    <definedName name="vcCurves" comment="The table of Volume/Capacity indexed speed curves">LinkCharacteristics!$W$5:$Z$61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0" l="1"/>
  <c r="F12" i="20"/>
  <c r="F11" i="20"/>
  <c r="F10" i="20"/>
  <c r="F9" i="20"/>
  <c r="L58" i="20" l="1"/>
  <c r="E10" i="20" s="1"/>
  <c r="L59" i="20"/>
  <c r="E11" i="20" s="1"/>
  <c r="L60" i="20"/>
  <c r="E12" i="20" s="1"/>
  <c r="L61" i="20"/>
  <c r="E13" i="20" s="1"/>
  <c r="L57" i="20"/>
  <c r="E9" i="20" s="1"/>
  <c r="D66" i="13" l="1"/>
  <c r="G37" i="22" l="1"/>
  <c r="D32" i="18" l="1"/>
  <c r="D33" i="18"/>
  <c r="D34" i="18"/>
  <c r="D35" i="18"/>
  <c r="D36" i="18"/>
  <c r="D37" i="18"/>
  <c r="D38" i="18"/>
  <c r="D39" i="18"/>
  <c r="D40" i="18"/>
  <c r="D41" i="18"/>
  <c r="D42" i="18"/>
  <c r="D43" i="18"/>
  <c r="D44" i="18"/>
  <c r="D45" i="18"/>
  <c r="D46" i="18"/>
  <c r="D47" i="18"/>
  <c r="D48" i="18"/>
  <c r="D49" i="18"/>
  <c r="D50" i="18"/>
  <c r="D51" i="18"/>
  <c r="D52" i="18"/>
  <c r="D53" i="18"/>
  <c r="D54" i="18"/>
  <c r="D55" i="18"/>
  <c r="D56" i="18"/>
  <c r="D57" i="18"/>
  <c r="D58" i="18"/>
  <c r="D59" i="18"/>
  <c r="D60" i="18"/>
  <c r="D61" i="18"/>
  <c r="D62" i="18"/>
  <c r="D63" i="18"/>
  <c r="D64" i="18"/>
  <c r="D65" i="18"/>
  <c r="D66" i="18"/>
  <c r="D67" i="18"/>
  <c r="D68" i="18"/>
  <c r="D69" i="18"/>
  <c r="D70" i="18"/>
  <c r="D71" i="18"/>
  <c r="E12" i="17" l="1"/>
  <c r="D18" i="1" l="1"/>
  <c r="D20" i="1" l="1"/>
  <c r="D16" i="1"/>
  <c r="H13" i="20"/>
  <c r="D13" i="20" s="1"/>
  <c r="H12" i="20"/>
  <c r="D12" i="20" s="1"/>
  <c r="H11" i="20"/>
  <c r="D11" i="20" s="1"/>
  <c r="H10" i="20"/>
  <c r="H9" i="20"/>
  <c r="D9" i="20" s="1"/>
  <c r="D21" i="1" l="1"/>
  <c r="D22" i="1" s="1"/>
  <c r="D8" i="21" s="1"/>
  <c r="D10" i="20"/>
  <c r="C32" i="22" l="1"/>
  <c r="C33" i="22"/>
  <c r="C34" i="22"/>
  <c r="C35" i="22"/>
  <c r="C36" i="22"/>
  <c r="B8" i="23" l="1"/>
  <c r="B7" i="23"/>
  <c r="B5" i="23"/>
  <c r="B17" i="23"/>
  <c r="B16" i="23"/>
  <c r="B14" i="23"/>
  <c r="B13" i="23"/>
  <c r="I53" i="1" l="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B6" i="23" l="1"/>
  <c r="D27" i="1" l="1"/>
  <c r="B9" i="23" s="1"/>
  <c r="C33" i="23"/>
  <c r="B12" i="23"/>
  <c r="D29" i="1" s="1"/>
  <c r="E17" i="8"/>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G71" i="18" l="1"/>
  <c r="F71" i="18"/>
  <c r="E71" i="18"/>
  <c r="C71" i="18"/>
  <c r="G70" i="18"/>
  <c r="F70" i="18"/>
  <c r="E70" i="18"/>
  <c r="C70" i="18"/>
  <c r="G69" i="18"/>
  <c r="F69" i="18"/>
  <c r="E69" i="18"/>
  <c r="C69" i="18"/>
  <c r="G68" i="18"/>
  <c r="F68" i="18"/>
  <c r="E68" i="18"/>
  <c r="C68" i="18"/>
  <c r="G67" i="18"/>
  <c r="F67" i="18"/>
  <c r="E67" i="18"/>
  <c r="C67" i="18"/>
  <c r="G66" i="18"/>
  <c r="F66" i="18"/>
  <c r="E66" i="18"/>
  <c r="C66" i="18"/>
  <c r="G65" i="18"/>
  <c r="F65" i="18"/>
  <c r="E65" i="18"/>
  <c r="C65" i="18"/>
  <c r="G64" i="18"/>
  <c r="F64" i="18"/>
  <c r="E64" i="18"/>
  <c r="C64" i="18"/>
  <c r="G63" i="18"/>
  <c r="F63" i="18"/>
  <c r="E63" i="18"/>
  <c r="C63" i="18"/>
  <c r="G62" i="18"/>
  <c r="F62" i="18"/>
  <c r="E62" i="18"/>
  <c r="C62" i="18"/>
  <c r="G61" i="18"/>
  <c r="F61" i="18"/>
  <c r="E61" i="18"/>
  <c r="C61" i="18"/>
  <c r="G60" i="18"/>
  <c r="F60" i="18"/>
  <c r="E60" i="18"/>
  <c r="C60" i="18"/>
  <c r="G59" i="18"/>
  <c r="F59" i="18"/>
  <c r="E59" i="18"/>
  <c r="C59" i="18"/>
  <c r="G58" i="18"/>
  <c r="F58" i="18"/>
  <c r="E58" i="18"/>
  <c r="C58" i="18"/>
  <c r="G57" i="18"/>
  <c r="F57" i="18"/>
  <c r="E57" i="18"/>
  <c r="C57" i="18"/>
  <c r="G56" i="18"/>
  <c r="F56" i="18"/>
  <c r="E56" i="18"/>
  <c r="C56" i="18"/>
  <c r="G55" i="18"/>
  <c r="F55" i="18"/>
  <c r="E55" i="18"/>
  <c r="C55" i="18"/>
  <c r="G54" i="18"/>
  <c r="F54" i="18"/>
  <c r="E54" i="18"/>
  <c r="C54" i="18"/>
  <c r="G53" i="18"/>
  <c r="F53" i="18"/>
  <c r="E53" i="18"/>
  <c r="C53" i="18"/>
  <c r="G52" i="18"/>
  <c r="F52" i="18"/>
  <c r="E52" i="18"/>
  <c r="C52" i="18"/>
  <c r="G51" i="18"/>
  <c r="F51" i="18"/>
  <c r="E51" i="18"/>
  <c r="C51" i="18"/>
  <c r="G50" i="18"/>
  <c r="F50" i="18"/>
  <c r="E50" i="18"/>
  <c r="C50" i="18"/>
  <c r="G49" i="18"/>
  <c r="F49" i="18"/>
  <c r="E49" i="18"/>
  <c r="C49" i="18"/>
  <c r="G48" i="18"/>
  <c r="F48" i="18"/>
  <c r="E48" i="18"/>
  <c r="C48" i="18"/>
  <c r="G47" i="18"/>
  <c r="F47" i="18"/>
  <c r="E47" i="18"/>
  <c r="C47" i="18"/>
  <c r="G46" i="18"/>
  <c r="F46" i="18"/>
  <c r="E46" i="18"/>
  <c r="C46" i="18"/>
  <c r="G45" i="18"/>
  <c r="F45" i="18"/>
  <c r="E45" i="18"/>
  <c r="C45" i="18"/>
  <c r="G44" i="18"/>
  <c r="F44" i="18"/>
  <c r="E44" i="18"/>
  <c r="C44" i="18"/>
  <c r="G43" i="18"/>
  <c r="F43" i="18"/>
  <c r="E43" i="18"/>
  <c r="C43" i="18"/>
  <c r="G42" i="18"/>
  <c r="F42" i="18"/>
  <c r="E42" i="18"/>
  <c r="C42" i="18"/>
  <c r="F41" i="18"/>
  <c r="E41" i="18"/>
  <c r="C41" i="18"/>
  <c r="F40" i="18"/>
  <c r="E40" i="18"/>
  <c r="C40" i="18"/>
  <c r="F39" i="18"/>
  <c r="E39" i="18"/>
  <c r="C39" i="18"/>
  <c r="F38" i="18"/>
  <c r="E38" i="18"/>
  <c r="C38" i="18"/>
  <c r="F37" i="18"/>
  <c r="E37" i="18"/>
  <c r="C37" i="18"/>
  <c r="F36" i="18"/>
  <c r="E36" i="18"/>
  <c r="C36" i="18"/>
  <c r="F35" i="18"/>
  <c r="E35" i="18"/>
  <c r="C35" i="18"/>
  <c r="F34" i="18"/>
  <c r="E34" i="18"/>
  <c r="C34" i="18"/>
  <c r="F33" i="18"/>
  <c r="E33" i="18"/>
  <c r="C33" i="18"/>
  <c r="F32" i="18"/>
  <c r="E32" i="18"/>
  <c r="C32" i="18"/>
  <c r="H20" i="18"/>
  <c r="H19" i="18"/>
  <c r="H18" i="18"/>
  <c r="H17" i="18"/>
  <c r="H16" i="18"/>
  <c r="H15" i="18"/>
  <c r="H14" i="18"/>
  <c r="H13" i="18"/>
  <c r="O5" i="18"/>
  <c r="O4" i="18"/>
  <c r="D59" i="20"/>
  <c r="D56" i="20"/>
  <c r="I21" i="5"/>
  <c r="H21" i="5"/>
  <c r="G21" i="5"/>
  <c r="F21" i="5"/>
  <c r="E21" i="5"/>
  <c r="D21" i="5"/>
  <c r="C21" i="5"/>
  <c r="I15" i="5"/>
  <c r="H15" i="5"/>
  <c r="G15" i="5"/>
  <c r="F15" i="5"/>
  <c r="E15" i="5"/>
  <c r="D15" i="5"/>
  <c r="C15" i="5"/>
  <c r="B12" i="5"/>
  <c r="B11" i="5"/>
  <c r="B10" i="5"/>
  <c r="B9" i="5"/>
  <c r="B8" i="5"/>
  <c r="B7" i="5"/>
  <c r="P5" i="5"/>
  <c r="P4" i="5"/>
  <c r="L7" i="8"/>
  <c r="L6" i="8"/>
  <c r="S61" i="24"/>
  <c r="Q61" i="24"/>
  <c r="P61" i="24"/>
  <c r="O61" i="24"/>
  <c r="S60" i="24"/>
  <c r="Q60" i="24"/>
  <c r="R60" i="24" s="1"/>
  <c r="P60" i="24"/>
  <c r="O60" i="24"/>
  <c r="S59" i="24"/>
  <c r="R59" i="24" s="1"/>
  <c r="Q59" i="24"/>
  <c r="P59" i="24"/>
  <c r="O59" i="24"/>
  <c r="S58" i="24"/>
  <c r="Q58" i="24"/>
  <c r="P58" i="24"/>
  <c r="O58" i="24"/>
  <c r="S57" i="24"/>
  <c r="R57" i="24" s="1"/>
  <c r="Q57" i="24"/>
  <c r="P57" i="24"/>
  <c r="O57" i="24"/>
  <c r="S56" i="24"/>
  <c r="Q56" i="24"/>
  <c r="P56" i="24"/>
  <c r="O56" i="24"/>
  <c r="S55" i="24"/>
  <c r="Q55" i="24"/>
  <c r="P55" i="24"/>
  <c r="O55" i="24"/>
  <c r="S54" i="24"/>
  <c r="Q54" i="24"/>
  <c r="P54" i="24"/>
  <c r="O54" i="24"/>
  <c r="S53" i="24"/>
  <c r="Q53" i="24"/>
  <c r="P53" i="24"/>
  <c r="O53" i="24"/>
  <c r="S52" i="24"/>
  <c r="Q52" i="24"/>
  <c r="P52" i="24"/>
  <c r="O52" i="24"/>
  <c r="S51" i="24"/>
  <c r="Q51" i="24"/>
  <c r="P51" i="24"/>
  <c r="O51" i="24"/>
  <c r="S50" i="24"/>
  <c r="Q50" i="24"/>
  <c r="P50" i="24"/>
  <c r="O50" i="24"/>
  <c r="S49" i="24"/>
  <c r="R49" i="24" s="1"/>
  <c r="Q49" i="24"/>
  <c r="P49" i="24"/>
  <c r="O49" i="24"/>
  <c r="S48" i="24"/>
  <c r="Q48" i="24"/>
  <c r="P48" i="24"/>
  <c r="O48" i="24"/>
  <c r="S47" i="24"/>
  <c r="R47" i="24" s="1"/>
  <c r="Q47" i="24"/>
  <c r="P47" i="24"/>
  <c r="O47" i="24"/>
  <c r="S46" i="24"/>
  <c r="Q46" i="24"/>
  <c r="P46" i="24"/>
  <c r="O46" i="24"/>
  <c r="S45" i="24"/>
  <c r="Q45" i="24"/>
  <c r="P45" i="24"/>
  <c r="O45" i="24"/>
  <c r="S44" i="24"/>
  <c r="Q44" i="24"/>
  <c r="P44" i="24"/>
  <c r="O44" i="24"/>
  <c r="S43" i="24"/>
  <c r="Q43" i="24"/>
  <c r="P43" i="24"/>
  <c r="O43" i="24"/>
  <c r="S42" i="24"/>
  <c r="Q42" i="24"/>
  <c r="P42" i="24"/>
  <c r="O42" i="24"/>
  <c r="S41" i="24"/>
  <c r="Q41" i="24"/>
  <c r="P41" i="24"/>
  <c r="O41" i="24"/>
  <c r="S40" i="24"/>
  <c r="Q40" i="24"/>
  <c r="P40" i="24"/>
  <c r="O40" i="24"/>
  <c r="S39" i="24"/>
  <c r="Q39" i="24"/>
  <c r="P39" i="24"/>
  <c r="O39" i="24"/>
  <c r="S38" i="24"/>
  <c r="Q38" i="24"/>
  <c r="P38" i="24"/>
  <c r="O38" i="24"/>
  <c r="S37" i="24"/>
  <c r="Q37" i="24"/>
  <c r="P37" i="24"/>
  <c r="O37" i="24"/>
  <c r="S36" i="24"/>
  <c r="Q36" i="24"/>
  <c r="P36" i="24"/>
  <c r="O36" i="24"/>
  <c r="S35" i="24"/>
  <c r="Q35" i="24"/>
  <c r="P35" i="24"/>
  <c r="O35" i="24"/>
  <c r="S34" i="24"/>
  <c r="Q34" i="24"/>
  <c r="P34" i="24"/>
  <c r="O34" i="24"/>
  <c r="S33" i="24"/>
  <c r="Q33" i="24"/>
  <c r="R33" i="24" s="1"/>
  <c r="P33" i="24"/>
  <c r="O33" i="24"/>
  <c r="S32" i="24"/>
  <c r="R32" i="24" s="1"/>
  <c r="Q32" i="24"/>
  <c r="P32" i="24"/>
  <c r="O32" i="24"/>
  <c r="S31" i="24"/>
  <c r="Q31" i="24"/>
  <c r="P31" i="24"/>
  <c r="O31" i="24"/>
  <c r="S30" i="24"/>
  <c r="Q30" i="24"/>
  <c r="P30" i="24"/>
  <c r="O30" i="24"/>
  <c r="S29" i="24"/>
  <c r="R29" i="24" s="1"/>
  <c r="Q29" i="24"/>
  <c r="P29" i="24"/>
  <c r="O29" i="24"/>
  <c r="S28" i="24"/>
  <c r="R28" i="24" s="1"/>
  <c r="Q28" i="24"/>
  <c r="P28" i="24"/>
  <c r="O28" i="24"/>
  <c r="S27" i="24"/>
  <c r="Q27" i="24"/>
  <c r="P27" i="24"/>
  <c r="O27" i="24"/>
  <c r="S26" i="24"/>
  <c r="Q26" i="24"/>
  <c r="P26" i="24"/>
  <c r="O26" i="24"/>
  <c r="S25" i="24"/>
  <c r="Q25" i="24"/>
  <c r="P25" i="24"/>
  <c r="O25" i="24"/>
  <c r="S24" i="24"/>
  <c r="Q24" i="24"/>
  <c r="P24" i="24"/>
  <c r="O24" i="24"/>
  <c r="S23" i="24"/>
  <c r="Q23" i="24"/>
  <c r="P23" i="24"/>
  <c r="O23" i="24"/>
  <c r="S22" i="24"/>
  <c r="Q22" i="24"/>
  <c r="P22" i="24"/>
  <c r="O22" i="24"/>
  <c r="S21" i="24"/>
  <c r="Q21" i="24"/>
  <c r="P21" i="24"/>
  <c r="O21" i="24"/>
  <c r="S20" i="24"/>
  <c r="Q20" i="24"/>
  <c r="P20" i="24"/>
  <c r="O20" i="24"/>
  <c r="S19" i="24"/>
  <c r="Q19" i="24"/>
  <c r="P19" i="24"/>
  <c r="O19" i="24"/>
  <c r="S18" i="24"/>
  <c r="Q18" i="24"/>
  <c r="P18" i="24"/>
  <c r="O18" i="24"/>
  <c r="S17" i="24"/>
  <c r="Q17" i="24"/>
  <c r="R17" i="24" s="1"/>
  <c r="P17" i="24"/>
  <c r="O17" i="24"/>
  <c r="S16" i="24"/>
  <c r="Q16" i="24"/>
  <c r="P16" i="24"/>
  <c r="O16" i="24"/>
  <c r="S15" i="24"/>
  <c r="Q15" i="24"/>
  <c r="P15" i="24"/>
  <c r="O15" i="24"/>
  <c r="S14" i="24"/>
  <c r="Q14" i="24"/>
  <c r="P14" i="24"/>
  <c r="O14" i="24"/>
  <c r="S13" i="24"/>
  <c r="Q13" i="24"/>
  <c r="P13" i="24"/>
  <c r="O13" i="24"/>
  <c r="S12" i="24"/>
  <c r="Q12" i="24"/>
  <c r="P12" i="24"/>
  <c r="O12" i="24"/>
  <c r="S11" i="24"/>
  <c r="Q11" i="24"/>
  <c r="P11" i="24"/>
  <c r="O11" i="24"/>
  <c r="S10" i="24"/>
  <c r="Q10" i="24"/>
  <c r="R10" i="24" s="1"/>
  <c r="P10" i="24"/>
  <c r="O10" i="24"/>
  <c r="S9" i="24"/>
  <c r="Q9" i="24"/>
  <c r="P9" i="24"/>
  <c r="O9" i="24"/>
  <c r="S8" i="24"/>
  <c r="Q8" i="24"/>
  <c r="R8" i="24" s="1"/>
  <c r="P8" i="24"/>
  <c r="O8" i="24"/>
  <c r="S7" i="24"/>
  <c r="Q7" i="24"/>
  <c r="R7" i="24" s="1"/>
  <c r="P7" i="24"/>
  <c r="O7" i="24"/>
  <c r="S6" i="24"/>
  <c r="Q6" i="24"/>
  <c r="R6" i="24" s="1"/>
  <c r="P6" i="24"/>
  <c r="O6" i="24"/>
  <c r="S5" i="24"/>
  <c r="Q5" i="24"/>
  <c r="P5" i="24"/>
  <c r="O5" i="24"/>
  <c r="J8" i="7"/>
  <c r="J7" i="7"/>
  <c r="D65" i="13"/>
  <c r="D64" i="13"/>
  <c r="D63" i="13"/>
  <c r="D62" i="13"/>
  <c r="D61" i="13"/>
  <c r="M5" i="13"/>
  <c r="M4" i="13"/>
  <c r="K4" i="17"/>
  <c r="D4" i="17"/>
  <c r="A1" i="17"/>
  <c r="J24" i="21"/>
  <c r="I18" i="5" s="1"/>
  <c r="I24" i="21"/>
  <c r="H18" i="5" s="1"/>
  <c r="H24" i="21"/>
  <c r="G18" i="5" s="1"/>
  <c r="G24" i="21"/>
  <c r="F18" i="5" s="1"/>
  <c r="F24" i="21"/>
  <c r="E18" i="5" s="1"/>
  <c r="E24" i="21"/>
  <c r="D18" i="5" s="1"/>
  <c r="D24" i="21"/>
  <c r="C18" i="5" s="1"/>
  <c r="J23" i="21"/>
  <c r="I17" i="5" s="1"/>
  <c r="I23" i="21"/>
  <c r="H17" i="5" s="1"/>
  <c r="H23" i="21"/>
  <c r="G17" i="5" s="1"/>
  <c r="G23" i="21"/>
  <c r="F17" i="5" s="1"/>
  <c r="F23" i="21"/>
  <c r="E17" i="5" s="1"/>
  <c r="E23" i="21"/>
  <c r="D17" i="5" s="1"/>
  <c r="D23" i="21"/>
  <c r="C17" i="5" s="1"/>
  <c r="J22" i="21"/>
  <c r="I16" i="5" s="1"/>
  <c r="I22" i="21"/>
  <c r="H16" i="5" s="1"/>
  <c r="H22" i="21"/>
  <c r="G16" i="5" s="1"/>
  <c r="G22" i="21"/>
  <c r="F16" i="5" s="1"/>
  <c r="F22" i="21"/>
  <c r="E16" i="5" s="1"/>
  <c r="E22" i="21"/>
  <c r="D16" i="5" s="1"/>
  <c r="D22" i="21"/>
  <c r="C16" i="5" s="1"/>
  <c r="D18" i="21"/>
  <c r="D15" i="8" s="1"/>
  <c r="D17" i="21"/>
  <c r="D12" i="8" s="1"/>
  <c r="D16" i="21"/>
  <c r="D11" i="8" s="1"/>
  <c r="D13" i="21"/>
  <c r="D17" i="7" s="1"/>
  <c r="D12" i="21"/>
  <c r="D15" i="7" s="1"/>
  <c r="D11" i="21"/>
  <c r="D13" i="7" s="1"/>
  <c r="D5" i="21"/>
  <c r="E50" i="22"/>
  <c r="D50" i="22"/>
  <c r="C50" i="22"/>
  <c r="F50" i="22" s="1"/>
  <c r="E49" i="22"/>
  <c r="D49" i="22"/>
  <c r="C49" i="22"/>
  <c r="F49" i="22" s="1"/>
  <c r="E48" i="22"/>
  <c r="D48" i="22"/>
  <c r="C48" i="22"/>
  <c r="F48" i="22" s="1"/>
  <c r="E47" i="22"/>
  <c r="D47" i="22"/>
  <c r="C47" i="22"/>
  <c r="F47" i="22" s="1"/>
  <c r="E46" i="22"/>
  <c r="D46" i="22"/>
  <c r="C46" i="22"/>
  <c r="F46" i="22" s="1"/>
  <c r="D43" i="22"/>
  <c r="K7" i="22"/>
  <c r="K6" i="22"/>
  <c r="H102" i="1"/>
  <c r="G102" i="1"/>
  <c r="E102" i="1"/>
  <c r="D102" i="1"/>
  <c r="C102" i="1"/>
  <c r="I71" i="18"/>
  <c r="I70" i="18"/>
  <c r="I69" i="18"/>
  <c r="I68" i="18"/>
  <c r="I67" i="18"/>
  <c r="I66" i="18"/>
  <c r="I65" i="18"/>
  <c r="I64" i="18"/>
  <c r="I63" i="18"/>
  <c r="I62" i="18"/>
  <c r="I61" i="18"/>
  <c r="I60" i="18"/>
  <c r="I59" i="18"/>
  <c r="I58" i="18"/>
  <c r="I57" i="18"/>
  <c r="I56" i="18"/>
  <c r="I55" i="18"/>
  <c r="I54" i="18"/>
  <c r="I53" i="18"/>
  <c r="I52" i="18"/>
  <c r="I51" i="18"/>
  <c r="I50" i="18"/>
  <c r="I49" i="18"/>
  <c r="I48" i="18"/>
  <c r="I47" i="18"/>
  <c r="I46" i="18"/>
  <c r="I45" i="18"/>
  <c r="I44" i="18"/>
  <c r="I43" i="18"/>
  <c r="I42" i="18"/>
  <c r="I41" i="18"/>
  <c r="I40" i="18"/>
  <c r="I39" i="18"/>
  <c r="I38" i="18"/>
  <c r="I37" i="18"/>
  <c r="I36" i="18"/>
  <c r="I35" i="18"/>
  <c r="I34" i="18"/>
  <c r="I33" i="18"/>
  <c r="I32" i="18"/>
  <c r="I30" i="18"/>
  <c r="I29" i="18"/>
  <c r="I28" i="18"/>
  <c r="I27" i="18"/>
  <c r="I26" i="18"/>
  <c r="I25" i="18"/>
  <c r="I24" i="18"/>
  <c r="I23" i="18"/>
  <c r="I52" i="1"/>
  <c r="I50" i="1"/>
  <c r="I20" i="18" s="1"/>
  <c r="I49" i="1"/>
  <c r="I19" i="18" s="1"/>
  <c r="I48" i="1"/>
  <c r="I18" i="18" s="1"/>
  <c r="J18" i="18" s="1"/>
  <c r="I47" i="1"/>
  <c r="I17" i="18" s="1"/>
  <c r="I46" i="1"/>
  <c r="I16" i="18" s="1"/>
  <c r="J16" i="18" s="1"/>
  <c r="I45" i="1"/>
  <c r="I15" i="18" s="1"/>
  <c r="J15" i="18" s="1"/>
  <c r="I44" i="1"/>
  <c r="I14" i="18" s="1"/>
  <c r="J14" i="18" s="1"/>
  <c r="F43" i="1"/>
  <c r="R13" i="24" l="1"/>
  <c r="R19" i="24"/>
  <c r="R21" i="24"/>
  <c r="R23" i="24"/>
  <c r="R25" i="24"/>
  <c r="R35" i="24"/>
  <c r="R37" i="24"/>
  <c r="R39" i="24"/>
  <c r="R41" i="24"/>
  <c r="R61" i="24"/>
  <c r="J19" i="18"/>
  <c r="R12" i="24"/>
  <c r="R16" i="24"/>
  <c r="R18" i="24"/>
  <c r="R22" i="24"/>
  <c r="R34" i="24"/>
  <c r="R38" i="24"/>
  <c r="R5" i="24"/>
  <c r="R20" i="24"/>
  <c r="R36" i="24"/>
  <c r="R9" i="24"/>
  <c r="R11" i="24"/>
  <c r="R24" i="24"/>
  <c r="R26" i="24"/>
  <c r="R27" i="24"/>
  <c r="R40" i="24"/>
  <c r="R42" i="24"/>
  <c r="R43" i="24"/>
  <c r="U10" i="24"/>
  <c r="R14" i="24"/>
  <c r="R15" i="24"/>
  <c r="R30" i="24"/>
  <c r="R31" i="24"/>
  <c r="R50" i="24"/>
  <c r="R51" i="24"/>
  <c r="R52" i="24"/>
  <c r="R53" i="24"/>
  <c r="R54" i="24"/>
  <c r="R55" i="24"/>
  <c r="B15" i="23"/>
  <c r="E19" i="7"/>
  <c r="J17" i="18"/>
  <c r="J20" i="18"/>
  <c r="R44" i="24"/>
  <c r="R45" i="24"/>
  <c r="R46" i="24"/>
  <c r="R56" i="24"/>
  <c r="I43" i="1"/>
  <c r="I13" i="18" s="1"/>
  <c r="R48" i="24"/>
  <c r="R58" i="24"/>
  <c r="D33" i="22"/>
  <c r="E33" i="22" s="1"/>
  <c r="F33" i="22" s="1"/>
  <c r="D35" i="22"/>
  <c r="E35" i="22" s="1"/>
  <c r="F35" i="22" s="1"/>
  <c r="D32" i="22"/>
  <c r="E32" i="22" s="1"/>
  <c r="F32" i="22" s="1"/>
  <c r="D34" i="22"/>
  <c r="E34" i="22" s="1"/>
  <c r="F34" i="22" s="1"/>
  <c r="D36" i="22"/>
  <c r="E36" i="22" s="1"/>
  <c r="F36" i="22" s="1"/>
  <c r="I22" i="18"/>
  <c r="B10" i="23"/>
  <c r="B21" i="23" s="1"/>
  <c r="C21" i="23" s="1"/>
  <c r="I23" i="5"/>
  <c r="I24" i="5"/>
  <c r="I25" i="5"/>
  <c r="J18" i="5"/>
  <c r="J16" i="5"/>
  <c r="J17" i="5"/>
  <c r="C37" i="22"/>
  <c r="I31" i="18"/>
  <c r="F102" i="1"/>
  <c r="H67" i="18"/>
  <c r="J67" i="18" s="1"/>
  <c r="H71" i="18"/>
  <c r="J71" i="18" s="1"/>
  <c r="D14" i="7"/>
  <c r="D14" i="8"/>
  <c r="H43" i="18"/>
  <c r="J43" i="18" s="1"/>
  <c r="H47" i="18"/>
  <c r="J47" i="18" s="1"/>
  <c r="H51" i="18"/>
  <c r="J51" i="18" s="1"/>
  <c r="H55" i="18"/>
  <c r="J55" i="18" s="1"/>
  <c r="H59" i="18"/>
  <c r="J59" i="18" s="1"/>
  <c r="H63" i="18"/>
  <c r="J63" i="18" s="1"/>
  <c r="D16" i="7"/>
  <c r="D13" i="8"/>
  <c r="H45" i="18"/>
  <c r="J45" i="18" s="1"/>
  <c r="H49" i="18"/>
  <c r="J49" i="18" s="1"/>
  <c r="H53" i="18"/>
  <c r="J53" i="18" s="1"/>
  <c r="H57" i="18"/>
  <c r="J57" i="18" s="1"/>
  <c r="H61" i="18"/>
  <c r="J61" i="18" s="1"/>
  <c r="H65" i="18"/>
  <c r="J65" i="18" s="1"/>
  <c r="H69" i="18"/>
  <c r="J69" i="18" s="1"/>
  <c r="H42" i="18"/>
  <c r="J42" i="18" s="1"/>
  <c r="H44" i="18"/>
  <c r="J44" i="18" s="1"/>
  <c r="H46" i="18"/>
  <c r="J46" i="18" s="1"/>
  <c r="H48" i="18"/>
  <c r="J48" i="18" s="1"/>
  <c r="H50" i="18"/>
  <c r="J50" i="18" s="1"/>
  <c r="H52" i="18"/>
  <c r="J52" i="18" s="1"/>
  <c r="H54" i="18"/>
  <c r="J54" i="18" s="1"/>
  <c r="H56" i="18"/>
  <c r="J56" i="18" s="1"/>
  <c r="H58" i="18"/>
  <c r="J58" i="18" s="1"/>
  <c r="H60" i="18"/>
  <c r="J60" i="18" s="1"/>
  <c r="H62" i="18"/>
  <c r="J62" i="18" s="1"/>
  <c r="H64" i="18"/>
  <c r="J64" i="18" s="1"/>
  <c r="H66" i="18"/>
  <c r="J66" i="18" s="1"/>
  <c r="H68" i="18"/>
  <c r="J68" i="18" s="1"/>
  <c r="H70" i="18"/>
  <c r="J70" i="18" s="1"/>
  <c r="C35" i="8"/>
  <c r="C39" i="8"/>
  <c r="C43" i="8"/>
  <c r="C36" i="8"/>
  <c r="C40" i="8"/>
  <c r="C37" i="8"/>
  <c r="C41" i="8"/>
  <c r="C34" i="8"/>
  <c r="C38" i="8"/>
  <c r="C42" i="8"/>
  <c r="B22" i="23"/>
  <c r="C11" i="5" l="1"/>
  <c r="G25" i="5" s="1"/>
  <c r="C16" i="7"/>
  <c r="C14" i="8"/>
  <c r="E14" i="8" s="1"/>
  <c r="C65" i="13"/>
  <c r="E65" i="13" s="1"/>
  <c r="C12" i="5"/>
  <c r="C15" i="8"/>
  <c r="E15" i="8" s="1"/>
  <c r="C17" i="7"/>
  <c r="E17" i="7" s="1"/>
  <c r="C66" i="13"/>
  <c r="E66" i="13" s="1"/>
  <c r="C9" i="5"/>
  <c r="E23" i="5" s="1"/>
  <c r="C12" i="8"/>
  <c r="E12" i="8" s="1"/>
  <c r="C14" i="7"/>
  <c r="E14" i="7" s="1"/>
  <c r="C63" i="13"/>
  <c r="E63" i="13" s="1"/>
  <c r="C10" i="5"/>
  <c r="C15" i="7"/>
  <c r="E15" i="7" s="1"/>
  <c r="C13" i="8"/>
  <c r="E13" i="8" s="1"/>
  <c r="C64" i="13"/>
  <c r="E64" i="13" s="1"/>
  <c r="C62" i="13"/>
  <c r="E62" i="13" s="1"/>
  <c r="C8" i="5"/>
  <c r="C22" i="5" s="1"/>
  <c r="C11" i="8"/>
  <c r="E11" i="8" s="1"/>
  <c r="C13" i="7"/>
  <c r="E13" i="7" s="1"/>
  <c r="F25" i="5"/>
  <c r="I102" i="1"/>
  <c r="C25" i="5"/>
  <c r="H25" i="5"/>
  <c r="J13" i="18"/>
  <c r="I72" i="18"/>
  <c r="E8" i="17" s="1"/>
  <c r="D25" i="5"/>
  <c r="E16" i="7"/>
  <c r="E37" i="22"/>
  <c r="D23" i="5"/>
  <c r="F23" i="5"/>
  <c r="F37" i="22"/>
  <c r="B23" i="23"/>
  <c r="H23" i="5" l="1"/>
  <c r="E25" i="5"/>
  <c r="D22" i="5"/>
  <c r="C23" i="5"/>
  <c r="G23" i="5"/>
  <c r="E67" i="13"/>
  <c r="D9" i="13" s="1"/>
  <c r="G22" i="5"/>
  <c r="F22" i="5"/>
  <c r="E22" i="5"/>
  <c r="J25" i="5"/>
  <c r="H22" i="5"/>
  <c r="I22" i="5"/>
  <c r="E16" i="8"/>
  <c r="E18" i="8" s="1"/>
  <c r="D26" i="5"/>
  <c r="H26" i="5"/>
  <c r="G26" i="5"/>
  <c r="C26" i="5"/>
  <c r="F26" i="5"/>
  <c r="E26" i="5"/>
  <c r="I26" i="5"/>
  <c r="D24" i="5"/>
  <c r="H24" i="5"/>
  <c r="E24" i="5"/>
  <c r="C24" i="5"/>
  <c r="F24" i="5"/>
  <c r="G24" i="5"/>
  <c r="C24" i="8"/>
  <c r="E18" i="7"/>
  <c r="C24" i="23" s="1"/>
  <c r="E29" i="18"/>
  <c r="C23" i="23"/>
  <c r="B11" i="23"/>
  <c r="B25" i="23"/>
  <c r="D15" i="13" l="1"/>
  <c r="D13" i="13"/>
  <c r="E30" i="18"/>
  <c r="E31" i="18"/>
  <c r="J23" i="5"/>
  <c r="E28" i="18"/>
  <c r="D14" i="13"/>
  <c r="E27" i="18"/>
  <c r="D16" i="13"/>
  <c r="D27" i="18"/>
  <c r="D31" i="18"/>
  <c r="D28" i="18"/>
  <c r="D29" i="18"/>
  <c r="D30" i="18"/>
  <c r="E24" i="18"/>
  <c r="E26" i="18"/>
  <c r="D11" i="13"/>
  <c r="D8" i="13"/>
  <c r="E23" i="18"/>
  <c r="D12" i="13"/>
  <c r="E22" i="18"/>
  <c r="E25" i="18"/>
  <c r="D10" i="13"/>
  <c r="D25" i="18"/>
  <c r="D26" i="18"/>
  <c r="D23" i="18"/>
  <c r="D24" i="18"/>
  <c r="D22" i="18"/>
  <c r="D17" i="13"/>
  <c r="C33" i="8"/>
  <c r="C32" i="8"/>
  <c r="C31" i="8"/>
  <c r="C25" i="8"/>
  <c r="E20" i="7"/>
  <c r="C26" i="18" s="1"/>
  <c r="J22" i="5"/>
  <c r="C26" i="8"/>
  <c r="C29" i="8"/>
  <c r="J26" i="5"/>
  <c r="C30" i="8"/>
  <c r="C28" i="8"/>
  <c r="J24" i="5"/>
  <c r="C27" i="8"/>
  <c r="B26" i="23"/>
  <c r="B31" i="23" s="1"/>
  <c r="B27" i="23"/>
  <c r="B28" i="23" s="1"/>
  <c r="B29" i="23" s="1"/>
  <c r="B32" i="23" s="1"/>
  <c r="C25" i="23"/>
  <c r="C22" i="23" s="1"/>
  <c r="C27" i="23" s="1"/>
  <c r="C28" i="23" s="1"/>
  <c r="C29" i="23" s="1"/>
  <c r="G41" i="18"/>
  <c r="H41" i="18" s="1"/>
  <c r="J41" i="18" s="1"/>
  <c r="G37" i="18"/>
  <c r="H37" i="18" s="1"/>
  <c r="J37" i="18" s="1"/>
  <c r="G33" i="18"/>
  <c r="H33" i="18" s="1"/>
  <c r="J33" i="18" s="1"/>
  <c r="G40" i="18"/>
  <c r="H40" i="18" s="1"/>
  <c r="J40" i="18" s="1"/>
  <c r="G36" i="18"/>
  <c r="H36" i="18" s="1"/>
  <c r="J36" i="18" s="1"/>
  <c r="G32" i="18"/>
  <c r="H32" i="18" s="1"/>
  <c r="J32" i="18" s="1"/>
  <c r="G39" i="18"/>
  <c r="H39" i="18" s="1"/>
  <c r="J39" i="18" s="1"/>
  <c r="G35" i="18"/>
  <c r="H35" i="18" s="1"/>
  <c r="J35" i="18" s="1"/>
  <c r="G38" i="18"/>
  <c r="H38" i="18" s="1"/>
  <c r="J38" i="18" s="1"/>
  <c r="G34" i="18"/>
  <c r="H34" i="18" s="1"/>
  <c r="J34" i="18" s="1"/>
  <c r="C29" i="7" l="1"/>
  <c r="C28" i="18"/>
  <c r="C28" i="7"/>
  <c r="C31" i="7"/>
  <c r="E72" i="18"/>
  <c r="L9" i="17" s="1"/>
  <c r="D58" i="13"/>
  <c r="C25" i="7"/>
  <c r="C29" i="18"/>
  <c r="C25" i="18"/>
  <c r="C24" i="18"/>
  <c r="C23" i="7"/>
  <c r="C32" i="7"/>
  <c r="C27" i="7"/>
  <c r="C27" i="18"/>
  <c r="C22" i="18"/>
  <c r="C30" i="18"/>
  <c r="C24" i="7"/>
  <c r="C30" i="7"/>
  <c r="C26" i="7"/>
  <c r="C23" i="18"/>
  <c r="C31" i="18"/>
  <c r="J27" i="5"/>
  <c r="D72" i="18"/>
  <c r="L12" i="17" s="1"/>
  <c r="C74" i="8"/>
  <c r="C30" i="5"/>
  <c r="F27" i="18"/>
  <c r="F25" i="18"/>
  <c r="C38" i="5"/>
  <c r="C29" i="5"/>
  <c r="C36" i="5"/>
  <c r="C31" i="5"/>
  <c r="F28" i="18"/>
  <c r="C34" i="5"/>
  <c r="C35" i="5"/>
  <c r="F24" i="18"/>
  <c r="F26" i="18"/>
  <c r="F29" i="18"/>
  <c r="F22" i="18"/>
  <c r="C32" i="5"/>
  <c r="F23" i="18"/>
  <c r="F30" i="18"/>
  <c r="C37" i="5"/>
  <c r="F31" i="18"/>
  <c r="C33" i="5"/>
  <c r="C30" i="23"/>
  <c r="C72" i="18" l="1"/>
  <c r="L10" i="17" s="1"/>
  <c r="C73" i="7"/>
  <c r="G22" i="18"/>
  <c r="F72" i="18"/>
  <c r="L13" i="17" s="1"/>
  <c r="C79" i="5"/>
  <c r="G29" i="18"/>
  <c r="H29" i="18" s="1"/>
  <c r="J29" i="18" s="1"/>
  <c r="G24" i="18"/>
  <c r="H24" i="18" s="1"/>
  <c r="J24" i="18" s="1"/>
  <c r="G27" i="18"/>
  <c r="H27" i="18" s="1"/>
  <c r="J27" i="18" s="1"/>
  <c r="G26" i="18"/>
  <c r="H26" i="18" s="1"/>
  <c r="J26" i="18" s="1"/>
  <c r="G25" i="18"/>
  <c r="H25" i="18" s="1"/>
  <c r="J25" i="18" s="1"/>
  <c r="G23" i="18"/>
  <c r="H23" i="18" s="1"/>
  <c r="J23" i="18" s="1"/>
  <c r="G30" i="18"/>
  <c r="H30" i="18" s="1"/>
  <c r="J30" i="18" s="1"/>
  <c r="G28" i="18"/>
  <c r="H28" i="18" s="1"/>
  <c r="J28" i="18" s="1"/>
  <c r="G31" i="18"/>
  <c r="H31" i="18" s="1"/>
  <c r="J31" i="18" s="1"/>
  <c r="H22" i="18" l="1"/>
  <c r="G72" i="18"/>
  <c r="L11" i="17" l="1"/>
  <c r="J22" i="18"/>
  <c r="J72" i="18" s="1"/>
  <c r="E10" i="17" s="1"/>
  <c r="H72" i="18"/>
  <c r="E9" i="17" s="1"/>
  <c r="E11" i="17" s="1"/>
  <c r="L14" i="17" l="1"/>
</calcChain>
</file>

<file path=xl/sharedStrings.xml><?xml version="1.0" encoding="utf-8"?>
<sst xmlns="http://schemas.openxmlformats.org/spreadsheetml/2006/main" count="581" uniqueCount="344">
  <si>
    <t>Injury</t>
  </si>
  <si>
    <t>PDO</t>
  </si>
  <si>
    <t>TOTAL</t>
  </si>
  <si>
    <t>CO2</t>
  </si>
  <si>
    <t>CO</t>
  </si>
  <si>
    <t>PM10</t>
  </si>
  <si>
    <t>PM2.5</t>
  </si>
  <si>
    <t>SO2</t>
  </si>
  <si>
    <t>VOC</t>
  </si>
  <si>
    <t>O</t>
  </si>
  <si>
    <t>C</t>
  </si>
  <si>
    <t>B</t>
  </si>
  <si>
    <t>A</t>
  </si>
  <si>
    <t>K</t>
  </si>
  <si>
    <t>Severity</t>
  </si>
  <si>
    <t>Estimated Annual Crashes without Treatment</t>
  </si>
  <si>
    <t>Crash Modification Factor</t>
  </si>
  <si>
    <t xml:space="preserve"> </t>
  </si>
  <si>
    <t>Facility Type</t>
  </si>
  <si>
    <t>Injury Scale</t>
  </si>
  <si>
    <t>Estimated Annual Crashes with Treatment</t>
  </si>
  <si>
    <t>Gallons/fuel</t>
  </si>
  <si>
    <t>Total Vehicle Hours, All Crashes</t>
  </si>
  <si>
    <t>Total Vehicle Hours, Truck Crashes</t>
  </si>
  <si>
    <t>Ratio, All/Truck</t>
  </si>
  <si>
    <t>FMCSA Truck Vehicle Hours</t>
  </si>
  <si>
    <t>All Crashes Vehicle Hours</t>
  </si>
  <si>
    <t>Year</t>
  </si>
  <si>
    <t>Present Value</t>
  </si>
  <si>
    <t>Total</t>
  </si>
  <si>
    <t>Reliability</t>
  </si>
  <si>
    <t>Urban Arterial</t>
  </si>
  <si>
    <t>Value</t>
  </si>
  <si>
    <t>Benefits</t>
  </si>
  <si>
    <t>Benefit / Cost Ratio:</t>
  </si>
  <si>
    <t>TOTAL BENEFITS</t>
  </si>
  <si>
    <t>This sheet performs the final calculations before presenting the summary results.</t>
  </si>
  <si>
    <t>PRESENT VALUE OF USER BENEFITS</t>
  </si>
  <si>
    <t>Present</t>
  </si>
  <si>
    <t>Project</t>
  </si>
  <si>
    <t>Travel</t>
  </si>
  <si>
    <t>Vehicle</t>
  </si>
  <si>
    <t>of Total</t>
  </si>
  <si>
    <t>NET</t>
  </si>
  <si>
    <t>Time</t>
  </si>
  <si>
    <t>Emission</t>
  </si>
  <si>
    <t>User</t>
  </si>
  <si>
    <t>PRESENT</t>
  </si>
  <si>
    <t>Construction</t>
  </si>
  <si>
    <t>Savings</t>
  </si>
  <si>
    <t>Reductions</t>
  </si>
  <si>
    <t>Costs</t>
  </si>
  <si>
    <t>VALUE</t>
  </si>
  <si>
    <t>Construction Period</t>
  </si>
  <si>
    <t>Project Open</t>
  </si>
  <si>
    <t>PROJECT DATA</t>
  </si>
  <si>
    <t>(1)</t>
  </si>
  <si>
    <t>(2)</t>
  </si>
  <si>
    <t>(3)</t>
  </si>
  <si>
    <t>(4)</t>
  </si>
  <si>
    <t>DIRECT PROJECT COSTS</t>
  </si>
  <si>
    <t>INITIAL COSTS</t>
  </si>
  <si>
    <t>SUBSEQUENT COSTS</t>
  </si>
  <si>
    <t>Mitigation</t>
  </si>
  <si>
    <t>Road Type</t>
  </si>
  <si>
    <t>INTRODUCTION</t>
  </si>
  <si>
    <t xml:space="preserve">Urban Interstates/ Expressways
</t>
  </si>
  <si>
    <t>Urban Arterials</t>
  </si>
  <si>
    <t>Urban Other</t>
  </si>
  <si>
    <t>Rural Interstate/ Principal Arterials</t>
  </si>
  <si>
    <t>Rural Other</t>
  </si>
  <si>
    <r>
      <rPr>
        <b/>
        <u/>
        <sz val="8"/>
        <rFont val="Arial"/>
        <family val="2"/>
      </rPr>
      <t>Fatal Crashes</t>
    </r>
  </si>
  <si>
    <r>
      <rPr>
        <b/>
        <u/>
        <sz val="8"/>
        <rFont val="Arial"/>
        <family val="2"/>
      </rPr>
      <t>Injury Crashes</t>
    </r>
  </si>
  <si>
    <r>
      <rPr>
        <b/>
        <u/>
        <sz val="8"/>
        <rFont val="Arial"/>
        <family val="2"/>
      </rPr>
      <t>PDO Crashes</t>
    </r>
  </si>
  <si>
    <t>Average VOT</t>
  </si>
  <si>
    <t>Urban Interstate/Expressway</t>
  </si>
  <si>
    <t>Rural Interstate/Principal Arterial</t>
  </si>
  <si>
    <t>Rural Interstate/Principal Arterials</t>
  </si>
  <si>
    <t>Average All Roadway Types</t>
  </si>
  <si>
    <t>Annual Reduction Benefit</t>
  </si>
  <si>
    <t xml:space="preserve">Crash </t>
  </si>
  <si>
    <t>NHTSA TRAVEL TIME DELAY FACTORS</t>
  </si>
  <si>
    <t>NHTSA VEHICLE OPERATING COSTS</t>
  </si>
  <si>
    <t>Average for All Road Types</t>
  </si>
  <si>
    <t>NOx</t>
  </si>
  <si>
    <t>Select roadway facility type from list</t>
  </si>
  <si>
    <t>= (1) Estimated Crashes without Treatment x (2) Crash Modfication Factor</t>
  </si>
  <si>
    <t>= (3) Estimated Annual Reduction with Treatment - (1) Estimated Crashes without Treatment</t>
  </si>
  <si>
    <t xml:space="preserve">Formula 1: Delay Reduction (3) </t>
  </si>
  <si>
    <t>= (1) Annual Crash Reduction x (2) Reduction Factor</t>
  </si>
  <si>
    <t>Formula 2: Annual Benefit</t>
  </si>
  <si>
    <t>= Total Delay x Unit Value of Time</t>
  </si>
  <si>
    <t>Formula 1: Annual Emissions Benefit (3)</t>
  </si>
  <si>
    <t>Monetization of Annual Fuel-Related VOC Benefits</t>
  </si>
  <si>
    <t>Formula 1: Annual fuel use reduction</t>
  </si>
  <si>
    <t>Formula 2: Annual CO2 reduction</t>
  </si>
  <si>
    <t>Value of Time</t>
  </si>
  <si>
    <t>Travel Time Delay Factors</t>
  </si>
  <si>
    <t xml:space="preserve">Injury </t>
  </si>
  <si>
    <t>User Defined</t>
  </si>
  <si>
    <t>Length of Construction Period (Years)</t>
  </si>
  <si>
    <t>AGENCY:</t>
  </si>
  <si>
    <t>NHTSA EMIISSIONS FACTORS ($ 2017 Dollars)</t>
  </si>
  <si>
    <t>ANALYSIS PARAMETERS</t>
  </si>
  <si>
    <t>Benefit-Cost Analysis Summary Results</t>
  </si>
  <si>
    <t>DATE</t>
  </si>
  <si>
    <t>Agency:</t>
  </si>
  <si>
    <t>Date:</t>
  </si>
  <si>
    <t>PROJECT INFORMATION</t>
  </si>
  <si>
    <t>ANNUAL CRASH BENEFIT</t>
  </si>
  <si>
    <t>ANNUAL TRAVEL TIME BENEFIT</t>
  </si>
  <si>
    <t>ANNUAL VEHICLE OPERATING COST BENEFIT</t>
  </si>
  <si>
    <t>ANNUAL EMISSIONS BENEFIT</t>
  </si>
  <si>
    <t>LOOKUP TABLES</t>
  </si>
  <si>
    <t>FINAL CALCULATIONS</t>
  </si>
  <si>
    <t>Estimated Annual Crash Reduction</t>
  </si>
  <si>
    <t xml:space="preserve">This sheet calculates the annual monetary benefit of emissions reductions as a result of crash reductions. </t>
  </si>
  <si>
    <t xml:space="preserve">This sheet calculates the annual monetary benefit to fuel-related vehicle operating costs as a result of crash reductions. </t>
  </si>
  <si>
    <t>Model Default</t>
  </si>
  <si>
    <t>Color Codes</t>
  </si>
  <si>
    <t>Model Parameter</t>
  </si>
  <si>
    <t>Parameter</t>
  </si>
  <si>
    <t/>
  </si>
  <si>
    <t>Project Title:</t>
  </si>
  <si>
    <t>Model-defined parameters are based on the "Roadway Facility Type" selected by the user on the Project Information worksheet.</t>
  </si>
  <si>
    <t>The lookup tables on this worksheet are used to populate the Analysis Parameters worksheet.</t>
  </si>
  <si>
    <t>This sheet calculates annual reductions in crash frequency and severity for single or multiple countermeasures.</t>
  </si>
  <si>
    <t xml:space="preserve">This page lists model-defined parameters from the Lookup worksheet.  </t>
  </si>
  <si>
    <t>Unit Value of Time (Dollars)</t>
  </si>
  <si>
    <t>NHTSA Emissions Factors (2) ($ Dollars)</t>
  </si>
  <si>
    <t>Annual Estimated Reduction in Crash Frequency and Severity (1)</t>
  </si>
  <si>
    <t>CALCULATION FOR THE ANNUAL REDUCTION IN CRASH FREQUENCY AND SEVERITY</t>
  </si>
  <si>
    <t>Severity Scale</t>
  </si>
  <si>
    <t>NHTSA Delay Reduction Factor</t>
  </si>
  <si>
    <t>1) Single or Multiple Countermeasure</t>
  </si>
  <si>
    <t>Single Countermeasure</t>
  </si>
  <si>
    <t>Multiple Countermeasures</t>
  </si>
  <si>
    <t>Small</t>
  </si>
  <si>
    <t>Medium</t>
  </si>
  <si>
    <t>Large</t>
  </si>
  <si>
    <t>Case A/Case D</t>
  </si>
  <si>
    <t>Case B</t>
  </si>
  <si>
    <t>Case C</t>
  </si>
  <si>
    <t>Case E</t>
  </si>
  <si>
    <t>Not applicable</t>
  </si>
  <si>
    <t>Case B/Case E</t>
  </si>
  <si>
    <t>Not Applicable</t>
  </si>
  <si>
    <t>Analysis Type</t>
  </si>
  <si>
    <t>Zero Overlap in Countermeasure Effect</t>
  </si>
  <si>
    <t>Some Overlapping Countermeasure Effects</t>
  </si>
  <si>
    <t>Complete Overlap in Countermeasure Effects</t>
  </si>
  <si>
    <t>Enhancing Countermeasure Effects</t>
  </si>
  <si>
    <t>Counteracting Countermeasure Effects</t>
  </si>
  <si>
    <t>Dominant Effect</t>
  </si>
  <si>
    <t>Additive Method</t>
  </si>
  <si>
    <t>Multiplicative Method</t>
  </si>
  <si>
    <t>Dominant Common Residuals Method</t>
  </si>
  <si>
    <t>CMF1</t>
  </si>
  <si>
    <t>CMF2</t>
  </si>
  <si>
    <t>Case A</t>
  </si>
  <si>
    <t>Case D</t>
  </si>
  <si>
    <t>2) Calculation Method</t>
  </si>
  <si>
    <t>Enter estimated annual crashes without treatment and Crash Modification Factors (CMF).</t>
  </si>
  <si>
    <t>Calculation Method</t>
  </si>
  <si>
    <t>BASELINE CRASH DATA AND CRASH MODIFICATION FACTORS</t>
  </si>
  <si>
    <t>Formula 1: Estimated Annual Reductions with Treatment (3)</t>
  </si>
  <si>
    <t xml:space="preserve">This sheet calculates the annual monetary benefit of travel time savings as a result of the annual crash reductions. </t>
  </si>
  <si>
    <t>CMF CALCULATIONS FOR MULTIPLE COUNTERMEASURES (NOT APPLICABLE TO SINGLE COUNTERMEASURES)</t>
  </si>
  <si>
    <t>Model Calculation</t>
  </si>
  <si>
    <t>Delay Reduction Benefit (Hours)</t>
  </si>
  <si>
    <t>Annual Fuel Use Reduction Benefit (Gallons)</t>
  </si>
  <si>
    <t>Linked Cell</t>
  </si>
  <si>
    <t>Total Annual Fuel Reduction (Gallons)</t>
  </si>
  <si>
    <t>Total Annual Benefit of Fuel Reduction ($ Dollars)</t>
  </si>
  <si>
    <t>User-Supplied Data</t>
  </si>
  <si>
    <t>Calculation of the annual emissions benefit ($ Dollars) (3)</t>
  </si>
  <si>
    <t>Annual Reduction in Crashes</t>
  </si>
  <si>
    <t>Estimated Annual Reduction in Crashes</t>
  </si>
  <si>
    <t>Injury Severity Scale</t>
  </si>
  <si>
    <t>Total Annual Benefit for Reductions in Delay (Dollars)</t>
  </si>
  <si>
    <t>Total Annual Reductions in Delay (Hours)</t>
  </si>
  <si>
    <t>Total Annual Emissions Benefit ($ Dollars)</t>
  </si>
  <si>
    <t>Formula 2: Annual Reduction in Crashes (4)</t>
  </si>
  <si>
    <t>= (1) Estimated Annual Crash Reduction x (2) NHTSA Fuel Use Factor</t>
  </si>
  <si>
    <t>= (5) Estimated Annual Crash Reduction x (6) NHTSA CO2 Factor</t>
  </si>
  <si>
    <t>CALCULATION FOR THE MONETIZATION OF ANNUAL TRAVEL TIME BENEFITS</t>
  </si>
  <si>
    <t>CALCULATION FOR THE MONETIZATION OF ANNUAL CRASH BENEFITS</t>
  </si>
  <si>
    <t>Annual reductions in crashes with treatment</t>
  </si>
  <si>
    <t>= Annual Crash Reduction (1) x NHTSA Emissions Factor (2)</t>
  </si>
  <si>
    <t>BENEFITS WORKSHEETS</t>
  </si>
  <si>
    <t>ITEMIZED BENEFITS ($ Dollars)</t>
  </si>
  <si>
    <r>
      <t xml:space="preserve">Source: National Highway Traffic Safety Administration, </t>
    </r>
    <r>
      <rPr>
        <i/>
        <sz val="8"/>
        <color theme="1"/>
        <rFont val="Arial"/>
        <family val="2"/>
      </rPr>
      <t>The Economic and Societal Impact Of Motor Vehicle Crashe</t>
    </r>
    <r>
      <rPr>
        <sz val="8"/>
        <color theme="1"/>
        <rFont val="Arial"/>
        <family val="2"/>
      </rPr>
      <t>s, 2010, Accessed at: https://crashstats.nhtsa.dot.gov/Api/Public/ViewPublication/812013</t>
    </r>
  </si>
  <si>
    <r>
      <t xml:space="preserve">Source: National Highway Traffic Safety Administration, </t>
    </r>
    <r>
      <rPr>
        <i/>
        <sz val="8"/>
        <rFont val="Arial"/>
        <family val="2"/>
      </rPr>
      <t>The Economic and Societal Impact Of Motor Vehicle Crashes, 2010, https://crashstats.nhtsa.dot.gov/Api/Public/ViewPublication/812013.
(Revised), 2015 Accessed at: https://crashstats.nhtsa.dot.gov/Api/Public/ViewPublication/812013. Table 3-36. Average Value of Travel per Hour by Road Type (2010 Dollars)</t>
    </r>
  </si>
  <si>
    <t>Net Increase in and Cost of Fuel Consumption, Fatal Crashes</t>
  </si>
  <si>
    <t>Net Increase in and Cost of Fuel Consumption, Injury Crashes</t>
  </si>
  <si>
    <t>Net Increase in and Cost of Fuel Consumption, PDO Crashes</t>
  </si>
  <si>
    <t>Estimated Value of Net Emissions/Crash by Facility Type, All Fatal Crashes ($ 2017 Dollars)</t>
  </si>
  <si>
    <t>Estimated Value of Net Emissions/Crash by Facility Type, All Injury Crashes ($ 2017 Dollars)</t>
  </si>
  <si>
    <t>Estimated Value of Net Emissions/Crash by Facility Type, All PDO Crashes ($ 2017 Dollars)</t>
  </si>
  <si>
    <t>Net Present Value ($ Dollars)</t>
  </si>
  <si>
    <t>Unit Value of Fuel</t>
  </si>
  <si>
    <t>This sheet calculates the annual monetary benefit based on the Crash Costs for Highway Safety Analysis developed by the FHWA Office of Safety.</t>
  </si>
  <si>
    <t>Comprehensive Crash Unit Cost</t>
  </si>
  <si>
    <t>Formula: Annual Crash Reduction Benefit (3)</t>
  </si>
  <si>
    <t>= (1) Annual Reduction in Crashes x  (2) Comprehensive Crash Unit Cost</t>
  </si>
  <si>
    <t xml:space="preserve">This section automatically calculates a CMF value for the project when multiple countermeasures are being evaluated. Not applicable to single countermeasures. No user input is required for this table. </t>
  </si>
  <si>
    <t xml:space="preserve"> PROJECT COSTS</t>
  </si>
  <si>
    <t>Analyst:</t>
  </si>
  <si>
    <t>Build Alternative Name</t>
  </si>
  <si>
    <t>CMF Clearinghouse ID</t>
  </si>
  <si>
    <t>Fatality (K)</t>
  </si>
  <si>
    <t>PDO (O)</t>
  </si>
  <si>
    <t>Injury (A+B+C)</t>
  </si>
  <si>
    <t>Right-of-Way</t>
  </si>
  <si>
    <t>NHTSA Fuel Use Consumption</t>
  </si>
  <si>
    <t>TABLE OF CONTENTS</t>
  </si>
  <si>
    <t>Crash Information Worksheet</t>
  </si>
  <si>
    <t>Analysis Parameters Worksheet</t>
  </si>
  <si>
    <t>Results Worksheet</t>
  </si>
  <si>
    <t>Lookup Worksheet</t>
  </si>
  <si>
    <t>Final Calculations Worksheet</t>
  </si>
  <si>
    <t>Crash Benefits</t>
  </si>
  <si>
    <t>Travel Time Benefits</t>
  </si>
  <si>
    <t>VOC Benefits</t>
  </si>
  <si>
    <t>Emissions Benefits</t>
  </si>
  <si>
    <t xml:space="preserve">Reliability Benefits </t>
  </si>
  <si>
    <t>INSTRUCTIONS</t>
  </si>
  <si>
    <t xml:space="preserve">     Project Data</t>
  </si>
  <si>
    <t xml:space="preserve">     Project Costs</t>
  </si>
  <si>
    <t>Please make sure to save a copy of this tool with a relevant project-alternative name before entering any data.</t>
  </si>
  <si>
    <t>Legend</t>
  </si>
  <si>
    <t>Enter project life-cycle costs in table here. The green cells indicate data that is supplied by the user. The blue cells are model defaults. All orange text represents model calculations.</t>
  </si>
  <si>
    <t>Annual Discount Rate (Percent)</t>
  </si>
  <si>
    <t>Fuel Cost (Dollars/Gallon)</t>
  </si>
  <si>
    <t>Rehabilitation</t>
  </si>
  <si>
    <t>Project Support</t>
  </si>
  <si>
    <t>Open to Public</t>
  </si>
  <si>
    <t>PROJECT CRASH DATA</t>
  </si>
  <si>
    <t>Reliability Calculations</t>
  </si>
  <si>
    <t>Input Data</t>
  </si>
  <si>
    <t>Source</t>
  </si>
  <si>
    <t>Period of Analysis (Years)</t>
  </si>
  <si>
    <t>User or Default</t>
  </si>
  <si>
    <t>Segment Type</t>
  </si>
  <si>
    <t>Segment Length (Miles)</t>
  </si>
  <si>
    <t>Number of Lanes</t>
  </si>
  <si>
    <t>Free Flow Speed (MPH)</t>
  </si>
  <si>
    <t>Vehicle Hours of Travel at FFS (during peak period)</t>
  </si>
  <si>
    <t>Freeway Link Capacity (All Lanes - peak period), v/h/*l</t>
  </si>
  <si>
    <t>Calc HCM or User</t>
  </si>
  <si>
    <t>Hours of Peak Traffic per Day</t>
  </si>
  <si>
    <t>Days of Analysis per Year</t>
  </si>
  <si>
    <t>Reliability Ratio Freight</t>
  </si>
  <si>
    <t xml:space="preserve">Calculations </t>
  </si>
  <si>
    <t>V/C</t>
  </si>
  <si>
    <t>Calculated Congested Speed, HCM, MPH</t>
  </si>
  <si>
    <t>Vehicle Miles Traveled (VMT) per Year</t>
  </si>
  <si>
    <t xml:space="preserve">Crash Delay Hours Reduced Per Year </t>
  </si>
  <si>
    <t>Vehicle Hours of Travel, HCM, (VHT), per year</t>
  </si>
  <si>
    <t>Travel Time Index at Mean (TTIm)</t>
  </si>
  <si>
    <t>Travel Time Index at 80% on-Time (TTI80)</t>
  </si>
  <si>
    <t>Buffer Time at 80% On-Time Assurance (BT80)</t>
  </si>
  <si>
    <t>Buffer Time Saved</t>
  </si>
  <si>
    <t xml:space="preserve">Value of Recurring Delay </t>
  </si>
  <si>
    <t>Back</t>
  </si>
  <si>
    <t>Home</t>
  </si>
  <si>
    <t>Facility Types</t>
  </si>
  <si>
    <t>ID</t>
  </si>
  <si>
    <t>Name</t>
  </si>
  <si>
    <t>Hourly Lane Capacity</t>
  </si>
  <si>
    <t>FFS</t>
  </si>
  <si>
    <t>VCCurve</t>
  </si>
  <si>
    <t>crashRatePickerName</t>
  </si>
  <si>
    <t>Speed flow curve(s)</t>
  </si>
  <si>
    <t>Freeways</t>
  </si>
  <si>
    <t>Volume</t>
  </si>
  <si>
    <t>Capacity</t>
  </si>
  <si>
    <t>Speed</t>
  </si>
  <si>
    <t>Factor</t>
  </si>
  <si>
    <t>Arterials</t>
  </si>
  <si>
    <t>Ramps</t>
  </si>
  <si>
    <t>Link Capacity</t>
  </si>
  <si>
    <t>=</t>
  </si>
  <si>
    <t>Traffic Volume (during peak period)</t>
  </si>
  <si>
    <t>Maintenance/Operation</t>
  </si>
  <si>
    <r>
      <t xml:space="preserve">Source: National Highway Traffic Safety Administration, </t>
    </r>
    <r>
      <rPr>
        <i/>
        <sz val="8"/>
        <color theme="1"/>
        <rFont val="Arial"/>
        <family val="2"/>
      </rPr>
      <t>The Economic and Societal Impact Of Motor Vehicle Crashe</t>
    </r>
    <r>
      <rPr>
        <sz val="8"/>
        <color theme="1"/>
        <rFont val="Arial"/>
        <family val="2"/>
      </rPr>
      <t>s, 2010, Accessed at: https://crashstats.nhtsa.dot.gov/Api/Public/ViewPublication/812013.  Table 3-21. Vehicle Delay Hours by Crash Severity and Roadway Type, Average for All Crashes</t>
    </r>
  </si>
  <si>
    <t>Vehicles per hour for all lanes</t>
  </si>
  <si>
    <t>Injury A</t>
  </si>
  <si>
    <t>Injury B</t>
  </si>
  <si>
    <t>Injury C</t>
  </si>
  <si>
    <t>Percent of Trucks in the Flow (Percent)</t>
  </si>
  <si>
    <t>Note: NHTSA does not estimate CO or PM10 emissions reducyions per crach.  CO reduction benefits are included in the VOC benefits.</t>
  </si>
  <si>
    <t>Project Information Worksheet</t>
  </si>
  <si>
    <t>Cell Color Codes</t>
  </si>
  <si>
    <t>VOT for Passenger Vehicles</t>
  </si>
  <si>
    <t>VOT all Trucks</t>
  </si>
  <si>
    <t>Percentage Trucks</t>
  </si>
  <si>
    <t>Percentage Cars</t>
  </si>
  <si>
    <t>Inflation Factor 2010-2017</t>
  </si>
  <si>
    <t>Value of Time ($/Hr.) Freight</t>
  </si>
  <si>
    <t>Calculated Combined Value of Time ($/Hr.)</t>
  </si>
  <si>
    <t>ANNUAL RELIABILITY TIME BENEFIT</t>
  </si>
  <si>
    <t xml:space="preserve">This sheet calculates the annual monetary benefit of reliability as a result of the annual crash reductions. </t>
  </si>
  <si>
    <t>Without Countermeasure</t>
  </si>
  <si>
    <t>With Countermeasure</t>
  </si>
  <si>
    <t>Discount Rate</t>
  </si>
  <si>
    <t>Reference Guide: TOOL INSTRUCTIONS</t>
  </si>
  <si>
    <t>Highway Safety Benefit-Cost Analysis Model (Version 2.0)</t>
  </si>
  <si>
    <t>Roadway Facility Type</t>
  </si>
  <si>
    <t xml:space="preserve">Present Value Costs ($ Dollars) </t>
  </si>
  <si>
    <t xml:space="preserve">Present Value Benefits ($ Dollars) </t>
  </si>
  <si>
    <r>
      <t xml:space="preserve">=  </t>
    </r>
    <r>
      <rPr>
        <u/>
        <sz val="20"/>
        <color theme="1"/>
        <rFont val="Calibri"/>
        <family val="2"/>
        <scheme val="minor"/>
      </rPr>
      <t>Future Value  (in Constant Dollars) /   ( 1 + Real Discount Rate) ^ Year</t>
    </r>
  </si>
  <si>
    <t>Travel Time</t>
  </si>
  <si>
    <t>Formula 1: Present Value of Costs and Benefits</t>
  </si>
  <si>
    <t>User Determined Reduction in Crashes</t>
  </si>
  <si>
    <t>(5)</t>
  </si>
  <si>
    <t xml:space="preserve">This section automatically calculates annual reduction in crash frequency and severity. No user input is required for this table.  However, if the user wishes to override or enter externally calculated Crash Reductions, they may be entered in the Green cells, Column (5). </t>
  </si>
  <si>
    <t>Enter basic project data here. The green cells require user-supplied data when a default blue cell is not adjacent. The blue cells are model defaults, but can be overridden by entering a value in the green cell next to the blue default. All orange text represents model calculations.</t>
  </si>
  <si>
    <r>
      <t>The following information is used only for Reliability Benefit calculations.  Reliability benefits are not estimated for facilities that are classified as</t>
    </r>
    <r>
      <rPr>
        <i/>
        <sz val="18"/>
        <rFont val="Arial"/>
        <family val="2"/>
      </rPr>
      <t xml:space="preserve"> Urban or Rural Other.  </t>
    </r>
    <r>
      <rPr>
        <sz val="18"/>
        <rFont val="Arial"/>
        <family val="2"/>
      </rPr>
      <t>User may ignore the information input items below for these facilities and move to the Project Costs section.  See the BCA Guide or the Reference Guide for additional explanation.</t>
    </r>
  </si>
  <si>
    <t>Value of Time ($/Hr.) Personal</t>
  </si>
  <si>
    <t>Reliability Ratio Personal</t>
  </si>
  <si>
    <t>Hagemann, G., Hymel, K., Klauber, A., Lee, D. B., Noel, G., Pace, D., &amp; Taylor, C. (2013, March). Delay and Environmental Costs of Truck Crashes. (Report No. FMCSA-RRA-13-043). Washington, DC: Federal Motor Carrier Safety Administration. Available at https://www.google.com/url?sa=t&amp;rct=j&amp;q=&amp;esrc=s&amp;source=web&amp;cd=1&amp;ved=0ahUKEwiVh8rYsqbZAhWMNd8KHTr0AZoQFggpMAA&amp;url=http%3A%2F%2Frosap.ntl.bts.gov%2Fview%2Fdot%2F10074%2Fdot_10074_DS1.pdf%3F&amp;usg=AOvVaw1f9wcoEpIow-XxSEsxKz64</t>
  </si>
  <si>
    <t>Passenger VOT 2010</t>
  </si>
  <si>
    <t>Passenger VOT 2017</t>
  </si>
  <si>
    <t>FMCSA VALUE OF TIME ($2017 Dollars)</t>
  </si>
  <si>
    <t>Analysis Period (Years)</t>
  </si>
  <si>
    <t>(e.g., number of hours in am and/or pm peak)</t>
  </si>
  <si>
    <t>(passenger car equivalents for all lanes, or estimated by the Highway Capacity Manual methods)</t>
  </si>
  <si>
    <t>(2 for two-lane roads; otherwise, number of lanes per direction)</t>
  </si>
  <si>
    <t>(e.g., 365 for analysis of all days or 260 for analysis of weekday travel time reliability)</t>
  </si>
  <si>
    <t xml:space="preserve">Total Period </t>
  </si>
  <si>
    <t>(analysis period years plus construction period years)</t>
  </si>
  <si>
    <t>Hours of Capacity Related Delay Over FFS, Per Year</t>
  </si>
  <si>
    <t>Value of Buffer Time at 80%</t>
  </si>
  <si>
    <t>EVALUATING SYSTEMIC COUNTERMEASURE PROGRAMS</t>
  </si>
  <si>
    <t>Fatal</t>
  </si>
  <si>
    <t>(Hours/Crash)</t>
  </si>
  <si>
    <t>Users may modify default values by entering user defined values in the green cells on the right of the Lookup entry.</t>
  </si>
  <si>
    <t>Vehicle Operation Cost Factors</t>
  </si>
  <si>
    <t>(Gallons/Crash)</t>
  </si>
  <si>
    <t>Vehicle Operating Cost</t>
  </si>
  <si>
    <t>Safety</t>
  </si>
  <si>
    <t>Emissions</t>
  </si>
  <si>
    <t>Emissions Factors         (Dollars/Crash)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</si>
</sst>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quot;$&quot;#,##0.00"/>
    <numFmt numFmtId="166" formatCode="0.0000"/>
    <numFmt numFmtId="167" formatCode="0.00000"/>
    <numFmt numFmtId="168" formatCode="&quot;$&quot;#,##0.0;\-&quot;$&quot;#,##0.0"/>
    <numFmt numFmtId="169" formatCode="0.0_)"/>
    <numFmt numFmtId="170" formatCode="0.0%"/>
    <numFmt numFmtId="171" formatCode="#,##0_);\(#,##0_)"/>
    <numFmt numFmtId="172" formatCode="0_)"/>
    <numFmt numFmtId="173" formatCode="&quot;$&quot;#,##0;\-&quot;$&quot;#,##0"/>
    <numFmt numFmtId="174" formatCode="#,##0.00_);\(#,##0.00_)"/>
    <numFmt numFmtId="175" formatCode="_(&quot;$&quot;* #,##0_);_(&quot;$&quot;* \(#,##0\);_(&quot;$&quot;* &quot;-&quot;??_);_(@_)"/>
    <numFmt numFmtId="176" formatCode="0.000"/>
    <numFmt numFmtId="177" formatCode="_(* #,##0_);_(* \(#,##0\);_(* &quot;-&quot;??_);_(@_)"/>
    <numFmt numFmtId="178" formatCode="0.0"/>
    <numFmt numFmtId="179" formatCode="_(* #,##0.000_);_(* \(#,##0.000\);_(* &quot;-&quot;??_);_(@_)"/>
    <numFmt numFmtId="180" formatCode="_(* #,##0.0000_);_(* \(#,##0.0000\);_(* &quot;-&quot;??_);_(@_)"/>
    <numFmt numFmtId="181" formatCode="&quot;$&quot;#,##0.000"/>
  </numFmts>
  <fonts count="160" x14ac:knownFonts="1">
    <font>
      <sz val="11"/>
      <color theme="1"/>
      <name val="Calibri"/>
      <family val="2"/>
      <scheme val="minor"/>
    </font>
    <font>
      <b/>
      <sz val="11"/>
      <color theme="1"/>
      <name val="Calibri"/>
      <family val="2"/>
      <scheme val="minor"/>
    </font>
    <font>
      <b/>
      <sz val="11"/>
      <name val="Calibri"/>
      <family val="2"/>
    </font>
    <font>
      <sz val="10"/>
      <name val="Arial"/>
      <family val="2"/>
    </font>
    <font>
      <sz val="10"/>
      <color theme="1"/>
      <name val="Arial"/>
      <family val="2"/>
    </font>
    <font>
      <b/>
      <sz val="10"/>
      <color theme="1"/>
      <name val="Arial"/>
      <family val="2"/>
    </font>
    <font>
      <sz val="11"/>
      <color theme="1"/>
      <name val="Calibri"/>
      <family val="2"/>
      <scheme val="minor"/>
    </font>
    <font>
      <sz val="11"/>
      <color rgb="FF006100"/>
      <name val="Calibri"/>
      <family val="2"/>
      <scheme val="minor"/>
    </font>
    <font>
      <sz val="8"/>
      <name val="Arial"/>
      <family val="2"/>
    </font>
    <font>
      <b/>
      <sz val="8"/>
      <name val="Arial"/>
      <family val="2"/>
    </font>
    <font>
      <sz val="14"/>
      <color indexed="32"/>
      <name val="Arial"/>
      <family val="2"/>
    </font>
    <font>
      <sz val="14"/>
      <color indexed="8"/>
      <name val="Arial"/>
      <family val="2"/>
    </font>
    <font>
      <sz val="10"/>
      <name val="MS Sans Serif"/>
      <family val="2"/>
    </font>
    <font>
      <b/>
      <sz val="14"/>
      <color indexed="32"/>
      <name val="Arial"/>
      <family val="2"/>
    </font>
    <font>
      <i/>
      <sz val="10"/>
      <color indexed="10"/>
      <name val="Arial"/>
      <family val="2"/>
    </font>
    <font>
      <sz val="12"/>
      <name val="Arial"/>
      <family val="2"/>
    </font>
    <font>
      <b/>
      <i/>
      <sz val="8"/>
      <name val="Arial"/>
      <family val="2"/>
    </font>
    <font>
      <sz val="14"/>
      <name val="Arial"/>
      <family val="2"/>
    </font>
    <font>
      <i/>
      <sz val="8"/>
      <name val="Arial"/>
      <family val="2"/>
    </font>
    <font>
      <sz val="8"/>
      <color theme="1"/>
      <name val="Calibri"/>
      <family val="2"/>
      <scheme val="minor"/>
    </font>
    <font>
      <b/>
      <u/>
      <sz val="10"/>
      <color indexed="37"/>
      <name val="Arial"/>
      <family val="2"/>
    </font>
    <font>
      <sz val="14"/>
      <color indexed="16"/>
      <name val="Arial"/>
      <family val="2"/>
    </font>
    <font>
      <b/>
      <sz val="11"/>
      <color theme="1"/>
      <name val="Arial"/>
      <family val="2"/>
    </font>
    <font>
      <sz val="11"/>
      <color theme="1"/>
      <name val="Arial"/>
      <family val="2"/>
    </font>
    <font>
      <sz val="9"/>
      <color theme="1"/>
      <name val="Arial"/>
      <family val="2"/>
    </font>
    <font>
      <b/>
      <u/>
      <sz val="8"/>
      <name val="Arial"/>
      <family val="2"/>
    </font>
    <font>
      <sz val="8"/>
      <color rgb="FF000000"/>
      <name val="Arial"/>
      <family val="2"/>
    </font>
    <font>
      <sz val="8"/>
      <color theme="1"/>
      <name val="Arial"/>
      <family val="2"/>
    </font>
    <font>
      <b/>
      <sz val="8"/>
      <color theme="1"/>
      <name val="Arial"/>
      <family val="2"/>
    </font>
    <font>
      <b/>
      <sz val="12"/>
      <color theme="1"/>
      <name val="Arial"/>
      <family val="2"/>
    </font>
    <font>
      <b/>
      <sz val="8"/>
      <color rgb="FFFF0000"/>
      <name val="Arial"/>
      <family val="2"/>
    </font>
    <font>
      <sz val="10"/>
      <color rgb="FFC00000"/>
      <name val="Arial"/>
      <family val="2"/>
    </font>
    <font>
      <sz val="14"/>
      <color theme="1"/>
      <name val="Calibri"/>
      <family val="2"/>
      <scheme val="minor"/>
    </font>
    <font>
      <sz val="11"/>
      <color rgb="FF9C0006"/>
      <name val="Calibri"/>
      <family val="2"/>
      <scheme val="minor"/>
    </font>
    <font>
      <sz val="10"/>
      <name val="Gill Sans MT"/>
      <family val="2"/>
    </font>
    <font>
      <b/>
      <sz val="14"/>
      <color indexed="16"/>
      <name val="Arial"/>
      <family val="2"/>
    </font>
    <font>
      <b/>
      <sz val="36"/>
      <name val="Arial"/>
      <family val="2"/>
    </font>
    <font>
      <b/>
      <u/>
      <sz val="14"/>
      <color indexed="37"/>
      <name val="Arial"/>
      <family val="2"/>
    </font>
    <font>
      <b/>
      <sz val="14"/>
      <color indexed="25"/>
      <name val="Gill Sans MT"/>
      <family val="2"/>
    </font>
    <font>
      <sz val="11"/>
      <color theme="1"/>
      <name val="Gill Sans MT"/>
      <family val="2"/>
    </font>
    <font>
      <b/>
      <sz val="10"/>
      <color indexed="16"/>
      <name val="Gill Sans MT"/>
      <family val="2"/>
    </font>
    <font>
      <b/>
      <sz val="12"/>
      <color indexed="10"/>
      <name val="Gill Sans MT"/>
      <family val="2"/>
    </font>
    <font>
      <sz val="8"/>
      <name val="Gill Sans MT"/>
      <family val="2"/>
    </font>
    <font>
      <b/>
      <sz val="8"/>
      <color indexed="16"/>
      <name val="Gill Sans MT"/>
      <family val="2"/>
    </font>
    <font>
      <b/>
      <sz val="12"/>
      <color indexed="25"/>
      <name val="Gill Sans MT"/>
      <family val="2"/>
    </font>
    <font>
      <sz val="10"/>
      <color indexed="16"/>
      <name val="Gill Sans MT"/>
      <family val="2"/>
    </font>
    <font>
      <b/>
      <sz val="8"/>
      <name val="Gill Sans MT"/>
      <family val="2"/>
    </font>
    <font>
      <sz val="8"/>
      <color indexed="16"/>
      <name val="Gill Sans MT"/>
      <family val="2"/>
    </font>
    <font>
      <sz val="12"/>
      <color indexed="10"/>
      <name val="Gill Sans MT"/>
      <family val="2"/>
    </font>
    <font>
      <sz val="14"/>
      <color indexed="32"/>
      <name val="Gill Sans MT"/>
      <family val="2"/>
    </font>
    <font>
      <b/>
      <sz val="14"/>
      <color indexed="18"/>
      <name val="Gill Sans MT"/>
      <family val="2"/>
    </font>
    <font>
      <b/>
      <sz val="14"/>
      <color indexed="32"/>
      <name val="Gill Sans MT"/>
      <family val="2"/>
    </font>
    <font>
      <b/>
      <sz val="14"/>
      <name val="Gill Sans MT"/>
      <family val="2"/>
    </font>
    <font>
      <sz val="18"/>
      <name val="Arial"/>
      <family val="2"/>
    </font>
    <font>
      <b/>
      <sz val="14"/>
      <color theme="1"/>
      <name val="Arial"/>
      <family val="2"/>
    </font>
    <font>
      <b/>
      <sz val="18"/>
      <name val="Arial"/>
      <family val="2"/>
    </font>
    <font>
      <b/>
      <sz val="18"/>
      <color indexed="16"/>
      <name val="Arial"/>
      <family val="2"/>
    </font>
    <font>
      <b/>
      <sz val="18"/>
      <color theme="1"/>
      <name val="Arial"/>
      <family val="2"/>
    </font>
    <font>
      <sz val="18"/>
      <color theme="1"/>
      <name val="Calibri"/>
      <family val="2"/>
      <scheme val="minor"/>
    </font>
    <font>
      <sz val="18"/>
      <color indexed="16"/>
      <name val="Arial"/>
      <family val="2"/>
    </font>
    <font>
      <sz val="18"/>
      <color rgb="FF006100"/>
      <name val="Arial"/>
      <family val="2"/>
    </font>
    <font>
      <sz val="18"/>
      <color indexed="10"/>
      <name val="Arial"/>
      <family val="2"/>
    </font>
    <font>
      <sz val="14"/>
      <color theme="1"/>
      <name val="Arial"/>
      <family val="2"/>
    </font>
    <font>
      <b/>
      <sz val="18"/>
      <color rgb="FFFF0000"/>
      <name val="Arial"/>
      <family val="2"/>
    </font>
    <font>
      <sz val="18"/>
      <color theme="1"/>
      <name val="Arial"/>
      <family val="2"/>
    </font>
    <font>
      <sz val="14"/>
      <color rgb="FFC00000"/>
      <name val="Arial"/>
      <family val="2"/>
    </font>
    <font>
      <sz val="18"/>
      <color rgb="FFC00000"/>
      <name val="Arial"/>
      <family val="2"/>
    </font>
    <font>
      <sz val="18"/>
      <color indexed="56"/>
      <name val="Arial"/>
      <family val="2"/>
    </font>
    <font>
      <b/>
      <sz val="36"/>
      <name val="Gill Sans MT"/>
      <family val="2"/>
    </font>
    <font>
      <b/>
      <sz val="36"/>
      <color theme="1"/>
      <name val="Gill Sans MT"/>
      <family val="2"/>
    </font>
    <font>
      <b/>
      <sz val="24"/>
      <color indexed="32"/>
      <name val="Gill Sans MT"/>
      <family val="2"/>
    </font>
    <font>
      <b/>
      <sz val="36"/>
      <color rgb="FF0000FF"/>
      <name val="Gill Sans MT"/>
      <family val="2"/>
    </font>
    <font>
      <sz val="18"/>
      <color theme="1"/>
      <name val="Gill Sans MT"/>
      <family val="2"/>
    </font>
    <font>
      <sz val="24"/>
      <color theme="1"/>
      <name val="Gill Sans MT"/>
      <family val="2"/>
    </font>
    <font>
      <b/>
      <sz val="18"/>
      <color theme="1"/>
      <name val="Gill Sans MT"/>
      <family val="2"/>
    </font>
    <font>
      <sz val="24"/>
      <name val="Gill Sans MT"/>
      <family val="2"/>
    </font>
    <font>
      <b/>
      <sz val="11"/>
      <color rgb="FFFA7D00"/>
      <name val="Calibri"/>
      <family val="2"/>
      <scheme val="minor"/>
    </font>
    <font>
      <sz val="11"/>
      <color theme="0"/>
      <name val="Calibri"/>
      <family val="2"/>
      <scheme val="minor"/>
    </font>
    <font>
      <b/>
      <sz val="18"/>
      <color rgb="FFFA7D00"/>
      <name val="Arial"/>
      <family val="2"/>
    </font>
    <font>
      <sz val="18"/>
      <color rgb="FFFA7D00"/>
      <name val="Arial"/>
      <family val="2"/>
    </font>
    <font>
      <sz val="18"/>
      <color rgb="FF00B050"/>
      <name val="Arial"/>
      <family val="2"/>
    </font>
    <font>
      <sz val="18"/>
      <color rgb="FF00AD66"/>
      <name val="Arial"/>
      <family val="2"/>
    </font>
    <font>
      <sz val="10"/>
      <color indexed="16"/>
      <name val="Arial"/>
      <family val="2"/>
    </font>
    <font>
      <i/>
      <sz val="8"/>
      <color theme="1"/>
      <name val="Arial"/>
      <family val="2"/>
    </font>
    <font>
      <sz val="18"/>
      <color theme="1"/>
      <name val="Gill Sans MT"/>
      <family val="2"/>
    </font>
    <font>
      <sz val="18"/>
      <color rgb="FFFA7D00"/>
      <name val="Arial"/>
      <family val="2"/>
    </font>
    <font>
      <sz val="11"/>
      <color theme="1"/>
      <name val="Calibri"/>
      <family val="2"/>
      <scheme val="minor"/>
    </font>
    <font>
      <b/>
      <sz val="36"/>
      <name val="Gill Sans MT"/>
      <family val="2"/>
    </font>
    <font>
      <b/>
      <i/>
      <sz val="16"/>
      <name val="Arial"/>
      <family val="2"/>
    </font>
    <font>
      <sz val="18"/>
      <name val="Gill Sans MT"/>
      <family val="2"/>
    </font>
    <font>
      <i/>
      <sz val="14"/>
      <color indexed="56"/>
      <name val="Arial"/>
      <family val="2"/>
    </font>
    <font>
      <b/>
      <sz val="18"/>
      <color theme="1"/>
      <name val="Gill Sans MT"/>
      <family val="2"/>
    </font>
    <font>
      <sz val="18"/>
      <color theme="1"/>
      <name val="Gill Sans MT"/>
      <family val="2"/>
    </font>
    <font>
      <sz val="18"/>
      <color indexed="16"/>
      <name val="Arial"/>
      <family val="2"/>
    </font>
    <font>
      <sz val="18"/>
      <color rgb="FFC00000"/>
      <name val="Arial"/>
      <family val="2"/>
    </font>
    <font>
      <sz val="10"/>
      <color rgb="FFC00000"/>
      <name val="Arial"/>
      <family val="2"/>
    </font>
    <font>
      <sz val="18"/>
      <color rgb="FFFA7D00"/>
      <name val="Arial"/>
      <family val="2"/>
    </font>
    <font>
      <i/>
      <sz val="18"/>
      <color indexed="56"/>
      <name val="Arial"/>
      <family val="2"/>
    </font>
    <font>
      <sz val="18"/>
      <color theme="1"/>
      <name val="Calibri"/>
      <family val="2"/>
      <scheme val="minor"/>
    </font>
    <font>
      <sz val="18"/>
      <color rgb="FF00AD66"/>
      <name val="Arial"/>
      <family val="2"/>
    </font>
    <font>
      <sz val="18"/>
      <name val="Arial"/>
      <family val="2"/>
    </font>
    <font>
      <b/>
      <sz val="18"/>
      <color indexed="16"/>
      <name val="Arial"/>
      <family val="2"/>
    </font>
    <font>
      <b/>
      <sz val="18"/>
      <name val="Arial"/>
      <family val="2"/>
    </font>
    <font>
      <b/>
      <i/>
      <sz val="18"/>
      <name val="Arial"/>
      <family val="2"/>
    </font>
    <font>
      <b/>
      <sz val="18"/>
      <color rgb="FFFA7D00"/>
      <name val="Arial"/>
      <family val="2"/>
    </font>
    <font>
      <b/>
      <sz val="18"/>
      <color rgb="FF00AD66"/>
      <name val="Arial"/>
      <family val="2"/>
    </font>
    <font>
      <sz val="18"/>
      <color theme="1"/>
      <name val="Arial"/>
      <family val="2"/>
    </font>
    <font>
      <sz val="10"/>
      <name val="Arial"/>
      <family val="2"/>
    </font>
    <font>
      <sz val="10"/>
      <name val="Arial"/>
      <family val="2"/>
    </font>
    <font>
      <sz val="48"/>
      <name val="Gill Sans MT"/>
      <family val="2"/>
    </font>
    <font>
      <sz val="26"/>
      <name val="Arial"/>
      <family val="2"/>
    </font>
    <font>
      <sz val="22"/>
      <name val="Arial"/>
      <family val="2"/>
    </font>
    <font>
      <b/>
      <sz val="26"/>
      <name val="Arial"/>
      <family val="2"/>
    </font>
    <font>
      <sz val="11"/>
      <color theme="1"/>
      <name val="Calibri"/>
      <family val="2"/>
      <scheme val="minor"/>
    </font>
    <font>
      <sz val="24"/>
      <name val="Gill Sans MT"/>
      <family val="2"/>
    </font>
    <font>
      <sz val="8"/>
      <color theme="1"/>
      <name val="Arial"/>
      <family val="2"/>
    </font>
    <font>
      <b/>
      <sz val="18"/>
      <color theme="1"/>
      <name val="Gill Sans MT"/>
      <family val="2"/>
    </font>
    <font>
      <sz val="14"/>
      <color theme="1"/>
      <name val="Arial"/>
      <family val="2"/>
    </font>
    <font>
      <sz val="18"/>
      <color theme="1"/>
      <name val="Gill Sans MT"/>
      <family val="2"/>
    </font>
    <font>
      <sz val="18"/>
      <color indexed="16"/>
      <name val="Arial"/>
      <family val="2"/>
    </font>
    <font>
      <sz val="18"/>
      <color rgb="FFFA7D00"/>
      <name val="Arial"/>
      <family val="2"/>
    </font>
    <font>
      <sz val="18"/>
      <color rgb="FF00AD66"/>
      <name val="Arial"/>
      <family val="2"/>
    </font>
    <font>
      <b/>
      <sz val="24"/>
      <color indexed="32"/>
      <name val="Gill Sans MT"/>
      <family val="2"/>
    </font>
    <font>
      <sz val="18"/>
      <name val="Arial"/>
      <family val="2"/>
    </font>
    <font>
      <sz val="18"/>
      <color theme="1"/>
      <name val="Arial"/>
      <family val="2"/>
    </font>
    <font>
      <sz val="10"/>
      <name val="Arial"/>
      <family val="2"/>
    </font>
    <font>
      <b/>
      <sz val="18"/>
      <name val="Arial"/>
      <family val="2"/>
    </font>
    <font>
      <sz val="18"/>
      <color indexed="8"/>
      <name val="Arial"/>
      <family val="2"/>
    </font>
    <font>
      <sz val="18"/>
      <color indexed="56"/>
      <name val="Arial"/>
      <family val="2"/>
    </font>
    <font>
      <sz val="18"/>
      <color rgb="FFC00000"/>
      <name val="Arial"/>
      <family val="2"/>
    </font>
    <font>
      <sz val="10"/>
      <color rgb="FFC00000"/>
      <name val="Arial"/>
      <family val="2"/>
    </font>
    <font>
      <b/>
      <sz val="18"/>
      <color rgb="FFFF0000"/>
      <name val="Arial"/>
      <family val="2"/>
    </font>
    <font>
      <b/>
      <sz val="18"/>
      <color rgb="FFFA7D00"/>
      <name val="Arial"/>
      <family val="2"/>
    </font>
    <font>
      <sz val="18"/>
      <color theme="0"/>
      <name val="Arial"/>
      <family val="2"/>
    </font>
    <font>
      <sz val="20"/>
      <color rgb="FFFF0000"/>
      <name val="Arial"/>
      <family val="2"/>
    </font>
    <font>
      <sz val="11"/>
      <color rgb="FFFF0000"/>
      <name val="Calibri"/>
      <family val="2"/>
      <scheme val="minor"/>
    </font>
    <font>
      <sz val="11"/>
      <color theme="10"/>
      <name val="Calibri"/>
      <family val="2"/>
    </font>
    <font>
      <b/>
      <i/>
      <sz val="14"/>
      <color theme="0"/>
      <name val="Calibri"/>
      <family val="2"/>
      <scheme val="minor"/>
    </font>
    <font>
      <b/>
      <u/>
      <sz val="11"/>
      <color theme="10"/>
      <name val="Calibri"/>
      <family val="2"/>
    </font>
    <font>
      <i/>
      <sz val="11"/>
      <name val="Calibri"/>
      <family val="2"/>
    </font>
    <font>
      <sz val="11"/>
      <name val="Calibri"/>
      <family val="2"/>
    </font>
    <font>
      <sz val="12"/>
      <name val="Calibri"/>
      <family val="2"/>
      <scheme val="minor"/>
    </font>
    <font>
      <sz val="18"/>
      <color theme="5" tint="-0.249977111117893"/>
      <name val="Arial"/>
      <family val="2"/>
    </font>
    <font>
      <sz val="11"/>
      <color rgb="FF000000"/>
      <name val="Calibri"/>
      <family val="2"/>
    </font>
    <font>
      <sz val="8"/>
      <color rgb="FFFF0000"/>
      <name val="Arial"/>
      <family val="2"/>
    </font>
    <font>
      <sz val="16"/>
      <name val="Arial"/>
      <family val="2"/>
    </font>
    <font>
      <sz val="16"/>
      <color indexed="10"/>
      <name val="Arial"/>
      <family val="2"/>
    </font>
    <font>
      <i/>
      <sz val="16"/>
      <color indexed="10"/>
      <name val="Arial"/>
      <family val="2"/>
    </font>
    <font>
      <sz val="16"/>
      <color theme="1"/>
      <name val="Calibri"/>
      <family val="2"/>
      <scheme val="minor"/>
    </font>
    <font>
      <b/>
      <sz val="16"/>
      <color theme="1"/>
      <name val="Gill Sans MT"/>
      <family val="2"/>
    </font>
    <font>
      <b/>
      <sz val="16"/>
      <color rgb="FFFFFFFF"/>
      <name val="Gill Sans MT"/>
      <family val="2"/>
    </font>
    <font>
      <sz val="16"/>
      <color rgb="FF000000"/>
      <name val="Gill Sans MT"/>
      <family val="2"/>
    </font>
    <font>
      <b/>
      <sz val="24"/>
      <color rgb="FFFF0000"/>
      <name val="Arial"/>
      <family val="2"/>
    </font>
    <font>
      <b/>
      <u/>
      <sz val="26"/>
      <name val="Arial"/>
      <family val="2"/>
    </font>
    <font>
      <sz val="20"/>
      <color rgb="FFC00000"/>
      <name val="Arial"/>
      <family val="2"/>
    </font>
    <font>
      <u/>
      <sz val="20"/>
      <color theme="1"/>
      <name val="Calibri"/>
      <family val="2"/>
      <scheme val="minor"/>
    </font>
    <font>
      <sz val="20"/>
      <color theme="7" tint="-0.499984740745262"/>
      <name val="Arial"/>
      <family val="2"/>
    </font>
    <font>
      <i/>
      <sz val="18"/>
      <name val="Arial"/>
      <family val="2"/>
    </font>
    <font>
      <sz val="20"/>
      <name val="Arial"/>
      <family val="2"/>
    </font>
    <font>
      <u/>
      <sz val="11"/>
      <color theme="10"/>
      <name val="Calibri"/>
      <family val="2"/>
      <scheme val="minor"/>
    </font>
  </fonts>
  <fills count="2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
      <patternFill patternType="solid">
        <fgColor rgb="FFD9D9D9"/>
      </patternFill>
    </fill>
    <fill>
      <patternFill patternType="solid">
        <fgColor theme="0"/>
        <bgColor indexed="64"/>
      </patternFill>
    </fill>
    <fill>
      <patternFill patternType="solid">
        <fgColor rgb="FFC6EFCE"/>
      </patternFill>
    </fill>
    <fill>
      <patternFill patternType="solid">
        <fgColor rgb="FFFFFFCC"/>
      </patternFill>
    </fill>
    <fill>
      <patternFill patternType="solid">
        <fgColor indexed="26"/>
        <bgColor indexed="64"/>
      </patternFill>
    </fill>
    <fill>
      <patternFill patternType="solid">
        <fgColor indexed="42"/>
        <bgColor indexed="64"/>
      </patternFill>
    </fill>
    <fill>
      <patternFill patternType="solid">
        <fgColor indexed="44"/>
        <bgColor indexed="64"/>
      </patternFill>
    </fill>
    <fill>
      <patternFill patternType="mediumGray">
        <fgColor indexed="41"/>
        <bgColor indexed="44"/>
      </patternFill>
    </fill>
    <fill>
      <patternFill patternType="solid">
        <fgColor indexed="22"/>
        <bgColor indexed="64"/>
      </patternFill>
    </fill>
    <fill>
      <patternFill patternType="solid">
        <fgColor rgb="FFD9D9D9"/>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C7CE"/>
      </patternFill>
    </fill>
    <fill>
      <patternFill patternType="solid">
        <fgColor rgb="FFCCFFCC"/>
        <bgColor indexed="64"/>
      </patternFill>
    </fill>
    <fill>
      <patternFill patternType="solid">
        <fgColor theme="0" tint="-0.249977111117893"/>
        <bgColor indexed="64"/>
      </patternFill>
    </fill>
    <fill>
      <patternFill patternType="solid">
        <fgColor rgb="FFF2F2F2"/>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auto="1"/>
      </left>
      <right style="thin">
        <color auto="1"/>
      </right>
      <top style="thin">
        <color auto="1"/>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diagonal/>
    </border>
    <border>
      <left style="thin">
        <color auto="1"/>
      </left>
      <right style="thin">
        <color auto="1"/>
      </right>
      <top/>
      <bottom style="thin">
        <color theme="0"/>
      </bottom>
      <diagonal/>
    </border>
    <border>
      <left style="thin">
        <color theme="0"/>
      </left>
      <right/>
      <top/>
      <bottom style="thin">
        <color theme="0"/>
      </bottom>
      <diagonal/>
    </border>
    <border>
      <left/>
      <right/>
      <top style="thin">
        <color theme="0"/>
      </top>
      <bottom style="thin">
        <color theme="0"/>
      </bottom>
      <diagonal/>
    </border>
    <border>
      <left style="thin">
        <color theme="0"/>
      </left>
      <right/>
      <top style="thin">
        <color theme="0"/>
      </top>
      <bottom/>
      <diagonal/>
    </border>
    <border>
      <left style="thin">
        <color rgb="FF7F7F7F"/>
      </left>
      <right style="thin">
        <color rgb="FF7F7F7F"/>
      </right>
      <top style="thin">
        <color rgb="FF7F7F7F"/>
      </top>
      <bottom style="thin">
        <color rgb="FF7F7F7F"/>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theme="0"/>
      </right>
      <top style="thin">
        <color auto="1"/>
      </top>
      <bottom style="thin">
        <color theme="0"/>
      </bottom>
      <diagonal/>
    </border>
    <border>
      <left style="thin">
        <color auto="1"/>
      </left>
      <right style="thin">
        <color auto="1"/>
      </right>
      <top style="thin">
        <color theme="0"/>
      </top>
      <bottom style="thin">
        <color auto="1"/>
      </bottom>
      <diagonal/>
    </border>
    <border>
      <left/>
      <right/>
      <top style="thin">
        <color theme="0"/>
      </top>
      <bottom/>
      <diagonal/>
    </border>
    <border>
      <left/>
      <right/>
      <top/>
      <bottom style="thin">
        <color theme="0"/>
      </bottom>
      <diagonal/>
    </border>
    <border>
      <left style="thin">
        <color theme="0"/>
      </left>
      <right style="thin">
        <color theme="0"/>
      </right>
      <top style="thin">
        <color auto="1"/>
      </top>
      <bottom style="thin">
        <color auto="1"/>
      </bottom>
      <diagonal/>
    </border>
    <border>
      <left style="thin">
        <color theme="0"/>
      </left>
      <right style="thin">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bottom style="thin">
        <color auto="1"/>
      </bottom>
      <diagonal/>
    </border>
    <border>
      <left/>
      <right style="thin">
        <color theme="0"/>
      </right>
      <top style="thin">
        <color theme="1"/>
      </top>
      <bottom style="thin">
        <color theme="1"/>
      </bottom>
      <diagonal/>
    </border>
    <border>
      <left/>
      <right/>
      <top style="thin">
        <color theme="1"/>
      </top>
      <bottom style="thin">
        <color theme="1"/>
      </bottom>
      <diagonal/>
    </border>
    <border>
      <left style="thin">
        <color theme="0"/>
      </left>
      <right style="thin">
        <color theme="0"/>
      </right>
      <top style="thin">
        <color theme="1"/>
      </top>
      <bottom style="thin">
        <color theme="1"/>
      </bottom>
      <diagonal/>
    </border>
    <border>
      <left/>
      <right style="thin">
        <color theme="0"/>
      </right>
      <top style="thin">
        <color theme="0"/>
      </top>
      <bottom style="thin">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auto="1"/>
      </right>
      <top style="thin">
        <color theme="0"/>
      </top>
      <bottom style="thin">
        <color theme="0"/>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left>
      <right/>
      <top style="thin">
        <color theme="0"/>
      </top>
      <bottom style="thin">
        <color theme="0" tint="-0.24994659260841701"/>
      </bottom>
      <diagonal/>
    </border>
    <border>
      <left/>
      <right/>
      <top style="thin">
        <color theme="0"/>
      </top>
      <bottom style="thin">
        <color theme="0" tint="-0.24994659260841701"/>
      </bottom>
      <diagonal/>
    </border>
    <border>
      <left/>
      <right style="thin">
        <color theme="0"/>
      </right>
      <top style="thin">
        <color theme="0"/>
      </top>
      <bottom style="thin">
        <color theme="0" tint="-0.24994659260841701"/>
      </bottom>
      <diagonal/>
    </border>
    <border>
      <left style="thin">
        <color theme="0"/>
      </left>
      <right/>
      <top/>
      <bottom/>
      <diagonal/>
    </border>
    <border>
      <left/>
      <right style="thin">
        <color theme="0"/>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theme="0"/>
      </left>
      <right/>
      <top style="thin">
        <color theme="0"/>
      </top>
      <bottom style="thin">
        <color auto="1"/>
      </bottom>
      <diagonal/>
    </border>
    <border>
      <left/>
      <right/>
      <top style="thin">
        <color theme="0"/>
      </top>
      <bottom style="thin">
        <color auto="1"/>
      </bottom>
      <diagonal/>
    </border>
  </borders>
  <cellStyleXfs count="11">
    <xf numFmtId="0" fontId="0" fillId="0" borderId="0"/>
    <xf numFmtId="0" fontId="7" fillId="7" borderId="0" applyNumberFormat="0" applyBorder="0" applyAlignment="0" applyProtection="0"/>
    <xf numFmtId="43" fontId="6" fillId="0" borderId="0" applyFont="0" applyFill="0" applyBorder="0" applyAlignment="0" applyProtection="0"/>
    <xf numFmtId="0" fontId="6" fillId="8" borderId="2" applyNumberFormat="0" applyFont="0" applyAlignment="0" applyProtection="0"/>
    <xf numFmtId="0" fontId="12" fillId="0" borderId="0"/>
    <xf numFmtId="0" fontId="33" fillId="17" borderId="0" applyNumberFormat="0" applyBorder="0" applyAlignment="0" applyProtection="0"/>
    <xf numFmtId="0" fontId="76" fillId="20" borderId="34" applyNumberFormat="0" applyAlignment="0" applyProtection="0"/>
    <xf numFmtId="9" fontId="6" fillId="0" borderId="0" applyFont="0" applyFill="0" applyBorder="0" applyAlignment="0" applyProtection="0"/>
    <xf numFmtId="44" fontId="6" fillId="0" borderId="0" applyFont="0" applyFill="0" applyBorder="0" applyAlignment="0" applyProtection="0"/>
    <xf numFmtId="0" fontId="136" fillId="0" borderId="0" applyNumberFormat="0" applyFill="0" applyBorder="0" applyAlignment="0" applyProtection="0">
      <alignment horizontal="left" vertical="top" indent="4"/>
      <protection locked="0"/>
    </xf>
    <xf numFmtId="0" fontId="159" fillId="0" borderId="0" applyNumberFormat="0" applyFill="0" applyBorder="0" applyAlignment="0" applyProtection="0"/>
  </cellStyleXfs>
  <cellXfs count="713">
    <xf numFmtId="0" fontId="0" fillId="0" borderId="0" xfId="0"/>
    <xf numFmtId="0" fontId="3" fillId="0" borderId="0" xfId="0" applyFont="1"/>
    <xf numFmtId="0" fontId="8" fillId="0" borderId="0" xfId="0" applyFont="1" applyBorder="1" applyAlignment="1">
      <alignment vertical="center"/>
    </xf>
    <xf numFmtId="0" fontId="3" fillId="0" borderId="0" xfId="0" applyFont="1" applyAlignment="1">
      <alignment vertical="center"/>
    </xf>
    <xf numFmtId="0" fontId="3" fillId="0" borderId="0" xfId="0" applyFont="1" applyBorder="1"/>
    <xf numFmtId="0" fontId="0" fillId="6" borderId="0" xfId="0" applyFill="1"/>
    <xf numFmtId="0" fontId="3" fillId="6" borderId="0" xfId="0" applyFont="1" applyFill="1" applyBorder="1"/>
    <xf numFmtId="0" fontId="3" fillId="6" borderId="0" xfId="0" applyFont="1" applyFill="1" applyBorder="1" applyAlignment="1">
      <alignment vertical="center"/>
    </xf>
    <xf numFmtId="0" fontId="39" fillId="6" borderId="0" xfId="0" applyFont="1" applyFill="1"/>
    <xf numFmtId="0" fontId="40" fillId="6" borderId="0" xfId="0" applyFont="1" applyFill="1" applyBorder="1" applyAlignment="1">
      <alignment horizontal="left" vertical="center"/>
    </xf>
    <xf numFmtId="0" fontId="34" fillId="6" borderId="0" xfId="0" applyFont="1" applyFill="1"/>
    <xf numFmtId="0" fontId="41" fillId="6" borderId="0" xfId="0" applyFont="1" applyFill="1" applyBorder="1" applyAlignment="1">
      <alignment vertical="center"/>
    </xf>
    <xf numFmtId="0" fontId="42" fillId="6" borderId="0" xfId="0" applyFont="1" applyFill="1" applyBorder="1" applyAlignment="1">
      <alignment vertical="center"/>
    </xf>
    <xf numFmtId="14" fontId="41" fillId="6" borderId="0" xfId="0" applyNumberFormat="1" applyFont="1" applyFill="1" applyBorder="1" applyAlignment="1">
      <alignment vertical="center"/>
    </xf>
    <xf numFmtId="0" fontId="34" fillId="6" borderId="0" xfId="0" applyFont="1" applyFill="1" applyAlignment="1">
      <alignment vertical="center"/>
    </xf>
    <xf numFmtId="0" fontId="43" fillId="6" borderId="0" xfId="0" applyFont="1" applyFill="1" applyBorder="1" applyAlignment="1">
      <alignment horizontal="centerContinuous" vertical="center"/>
    </xf>
    <xf numFmtId="0" fontId="44" fillId="6" borderId="0" xfId="0" quotePrefix="1" applyFont="1" applyFill="1" applyBorder="1" applyAlignment="1">
      <alignment horizontal="centerContinuous" vertical="center"/>
    </xf>
    <xf numFmtId="0" fontId="45" fillId="6" borderId="0" xfId="0" applyFont="1" applyFill="1" applyBorder="1" applyAlignment="1">
      <alignment horizontal="centerContinuous" vertical="center"/>
    </xf>
    <xf numFmtId="5" fontId="46" fillId="6" borderId="0" xfId="0" applyNumberFormat="1" applyFont="1" applyFill="1" applyBorder="1" applyAlignment="1" applyProtection="1">
      <alignment vertical="center"/>
    </xf>
    <xf numFmtId="0" fontId="34" fillId="6" borderId="0" xfId="0" applyFont="1" applyFill="1" applyBorder="1"/>
    <xf numFmtId="0" fontId="46" fillId="6" borderId="0" xfId="0" applyFont="1" applyFill="1" applyBorder="1" applyAlignment="1">
      <alignment vertical="center"/>
    </xf>
    <xf numFmtId="173" fontId="49" fillId="6" borderId="3" xfId="0" applyNumberFormat="1" applyFont="1" applyFill="1" applyBorder="1" applyAlignment="1" applyProtection="1">
      <alignment horizontal="right" vertical="center"/>
    </xf>
    <xf numFmtId="169" fontId="46" fillId="6" borderId="0" xfId="0" applyNumberFormat="1" applyFont="1" applyFill="1" applyBorder="1" applyAlignment="1" applyProtection="1">
      <alignment vertical="center"/>
    </xf>
    <xf numFmtId="2" fontId="49" fillId="6" borderId="3" xfId="0" applyNumberFormat="1" applyFont="1" applyFill="1" applyBorder="1" applyAlignment="1" applyProtection="1">
      <alignment horizontal="right" vertical="center"/>
    </xf>
    <xf numFmtId="0" fontId="39" fillId="6" borderId="0" xfId="0" applyFont="1" applyFill="1" applyBorder="1"/>
    <xf numFmtId="173" fontId="51" fillId="6" borderId="3" xfId="0" applyNumberFormat="1" applyFont="1" applyFill="1" applyBorder="1" applyAlignment="1" applyProtection="1">
      <alignment horizontal="right" vertical="center"/>
    </xf>
    <xf numFmtId="0" fontId="0" fillId="6" borderId="0" xfId="0" applyFill="1" applyBorder="1"/>
    <xf numFmtId="0" fontId="8" fillId="6" borderId="0" xfId="0" applyFont="1" applyFill="1" applyBorder="1" applyAlignment="1">
      <alignment vertical="center"/>
    </xf>
    <xf numFmtId="0" fontId="3" fillId="6" borderId="0" xfId="0" applyFont="1" applyFill="1"/>
    <xf numFmtId="0" fontId="11" fillId="6" borderId="0" xfId="0" quotePrefix="1" applyFont="1" applyFill="1" applyBorder="1" applyAlignment="1">
      <alignment horizontal="left" vertical="center"/>
    </xf>
    <xf numFmtId="170" fontId="10" fillId="6" borderId="0" xfId="0" applyNumberFormat="1" applyFont="1" applyFill="1" applyBorder="1" applyAlignment="1" applyProtection="1">
      <alignment horizontal="right" vertical="center"/>
    </xf>
    <xf numFmtId="0" fontId="43" fillId="15" borderId="4" xfId="0" applyFont="1" applyFill="1" applyBorder="1" applyAlignment="1">
      <alignment horizontal="left" vertical="center"/>
    </xf>
    <xf numFmtId="0" fontId="43" fillId="15" borderId="5" xfId="0" applyFont="1" applyFill="1" applyBorder="1" applyAlignment="1">
      <alignment horizontal="left" vertical="center"/>
    </xf>
    <xf numFmtId="0" fontId="47" fillId="15" borderId="5" xfId="0" applyFont="1" applyFill="1" applyBorder="1" applyAlignment="1">
      <alignment vertical="center"/>
    </xf>
    <xf numFmtId="0" fontId="47" fillId="15" borderId="6" xfId="0" applyFont="1" applyFill="1" applyBorder="1" applyAlignment="1">
      <alignment vertical="center"/>
    </xf>
    <xf numFmtId="0" fontId="34" fillId="15" borderId="7" xfId="0" applyFont="1" applyFill="1" applyBorder="1" applyAlignment="1">
      <alignment vertical="center"/>
    </xf>
    <xf numFmtId="168" fontId="49" fillId="15" borderId="8" xfId="0" applyNumberFormat="1" applyFont="1" applyFill="1" applyBorder="1" applyAlignment="1" applyProtection="1">
      <alignment horizontal="right" vertical="center"/>
    </xf>
    <xf numFmtId="169" fontId="49" fillId="15" borderId="8" xfId="0" applyNumberFormat="1" applyFont="1" applyFill="1" applyBorder="1" applyAlignment="1" applyProtection="1">
      <alignment horizontal="right" vertical="center"/>
    </xf>
    <xf numFmtId="170" fontId="49" fillId="15" borderId="8" xfId="0" applyNumberFormat="1" applyFont="1" applyFill="1" applyBorder="1" applyAlignment="1" applyProtection="1">
      <alignment horizontal="right" vertical="center"/>
    </xf>
    <xf numFmtId="0" fontId="34" fillId="15" borderId="9" xfId="0" applyFont="1" applyFill="1" applyBorder="1" applyAlignment="1">
      <alignment vertical="center"/>
    </xf>
    <xf numFmtId="0" fontId="38" fillId="15" borderId="10" xfId="0" applyFont="1" applyFill="1" applyBorder="1" applyAlignment="1">
      <alignment horizontal="left" vertical="center"/>
    </xf>
    <xf numFmtId="170" fontId="49" fillId="15" borderId="11" xfId="0" applyNumberFormat="1" applyFont="1" applyFill="1" applyBorder="1" applyAlignment="1" applyProtection="1">
      <alignment horizontal="right" vertical="center"/>
    </xf>
    <xf numFmtId="0" fontId="46" fillId="15" borderId="4" xfId="0" applyFont="1" applyFill="1" applyBorder="1" applyAlignment="1">
      <alignment vertical="center"/>
    </xf>
    <xf numFmtId="0" fontId="34" fillId="15" borderId="5" xfId="0" applyFont="1" applyFill="1" applyBorder="1"/>
    <xf numFmtId="0" fontId="48" fillId="15" borderId="5" xfId="0" applyFont="1" applyFill="1" applyBorder="1" applyAlignment="1">
      <alignment horizontal="center"/>
    </xf>
    <xf numFmtId="0" fontId="34" fillId="15" borderId="6" xfId="0" applyFont="1" applyFill="1" applyBorder="1"/>
    <xf numFmtId="169" fontId="46" fillId="15" borderId="7" xfId="0" applyNumberFormat="1" applyFont="1" applyFill="1" applyBorder="1" applyAlignment="1" applyProtection="1">
      <alignment vertical="center"/>
    </xf>
    <xf numFmtId="0" fontId="50" fillId="15" borderId="0" xfId="0" applyFont="1" applyFill="1" applyBorder="1"/>
    <xf numFmtId="0" fontId="48" fillId="15" borderId="0" xfId="0" applyFont="1" applyFill="1" applyBorder="1" applyAlignment="1">
      <alignment horizontal="center"/>
    </xf>
    <xf numFmtId="0" fontId="34" fillId="15" borderId="8" xfId="0" applyFont="1" applyFill="1" applyBorder="1"/>
    <xf numFmtId="0" fontId="46" fillId="15" borderId="7" xfId="0" applyFont="1" applyFill="1" applyBorder="1" applyAlignment="1">
      <alignment vertical="center"/>
    </xf>
    <xf numFmtId="0" fontId="42" fillId="15" borderId="7" xfId="0" applyFont="1" applyFill="1" applyBorder="1" applyAlignment="1">
      <alignment vertical="center"/>
    </xf>
    <xf numFmtId="0" fontId="42" fillId="15" borderId="9" xfId="0" applyFont="1" applyFill="1" applyBorder="1" applyAlignment="1">
      <alignment vertical="center"/>
    </xf>
    <xf numFmtId="0" fontId="34" fillId="15" borderId="10" xfId="0" applyFont="1" applyFill="1" applyBorder="1"/>
    <xf numFmtId="0" fontId="34" fillId="15" borderId="11" xfId="0" applyFont="1" applyFill="1" applyBorder="1"/>
    <xf numFmtId="0" fontId="38" fillId="15" borderId="3" xfId="0" applyFont="1" applyFill="1" applyBorder="1" applyAlignment="1">
      <alignment horizontal="left" vertical="center"/>
    </xf>
    <xf numFmtId="0" fontId="50" fillId="15" borderId="3" xfId="0" applyFont="1" applyFill="1" applyBorder="1" applyAlignment="1">
      <alignment horizontal="left" vertical="center"/>
    </xf>
    <xf numFmtId="0" fontId="3" fillId="0" borderId="13" xfId="0" applyFont="1" applyBorder="1" applyAlignment="1">
      <alignment vertical="center"/>
    </xf>
    <xf numFmtId="0" fontId="3" fillId="0" borderId="13" xfId="0" applyFont="1" applyBorder="1"/>
    <xf numFmtId="167" fontId="3" fillId="0" borderId="13" xfId="0" applyNumberFormat="1" applyFont="1" applyBorder="1" applyAlignment="1">
      <alignment horizontal="center" vertical="center"/>
    </xf>
    <xf numFmtId="171" fontId="14" fillId="0" borderId="13" xfId="0" applyNumberFormat="1" applyFont="1" applyFill="1" applyBorder="1" applyAlignment="1">
      <alignment vertical="center"/>
    </xf>
    <xf numFmtId="0" fontId="0" fillId="0" borderId="13" xfId="0" applyBorder="1"/>
    <xf numFmtId="0" fontId="17" fillId="0" borderId="13" xfId="0" applyFont="1" applyBorder="1"/>
    <xf numFmtId="0" fontId="55" fillId="0" borderId="13" xfId="0" applyFont="1" applyBorder="1" applyAlignment="1">
      <alignment horizontal="left" vertical="center"/>
    </xf>
    <xf numFmtId="0" fontId="53" fillId="0" borderId="13" xfId="0" applyFont="1" applyBorder="1" applyAlignment="1">
      <alignment vertical="center"/>
    </xf>
    <xf numFmtId="0" fontId="55" fillId="0" borderId="13" xfId="0" applyFont="1" applyFill="1" applyBorder="1" applyAlignment="1">
      <alignment horizontal="left" vertical="center"/>
    </xf>
    <xf numFmtId="0" fontId="57" fillId="0" borderId="13" xfId="0" applyFont="1" applyBorder="1" applyAlignment="1">
      <alignment wrapText="1"/>
    </xf>
    <xf numFmtId="0" fontId="58" fillId="0" borderId="13" xfId="0" applyFont="1" applyBorder="1"/>
    <xf numFmtId="0" fontId="53" fillId="0" borderId="13" xfId="0" applyFont="1" applyBorder="1"/>
    <xf numFmtId="0" fontId="59" fillId="9" borderId="13" xfId="0" applyFont="1" applyFill="1" applyBorder="1" applyAlignment="1">
      <alignment vertical="center"/>
    </xf>
    <xf numFmtId="167" fontId="17" fillId="0" borderId="13" xfId="0" applyNumberFormat="1" applyFont="1" applyBorder="1"/>
    <xf numFmtId="0" fontId="32" fillId="0" borderId="13" xfId="0" applyFont="1" applyBorder="1"/>
    <xf numFmtId="0" fontId="0" fillId="0" borderId="14" xfId="0" applyBorder="1"/>
    <xf numFmtId="49" fontId="8" fillId="0" borderId="12" xfId="0" applyNumberFormat="1" applyFont="1" applyBorder="1" applyAlignment="1">
      <alignment horizontal="center" vertical="center"/>
    </xf>
    <xf numFmtId="0" fontId="0" fillId="0" borderId="15" xfId="0" applyBorder="1"/>
    <xf numFmtId="0" fontId="0" fillId="0" borderId="12" xfId="0" applyBorder="1"/>
    <xf numFmtId="0" fontId="23" fillId="0" borderId="13" xfId="0" applyFont="1" applyBorder="1"/>
    <xf numFmtId="0" fontId="62" fillId="0" borderId="13" xfId="0" applyFont="1" applyBorder="1"/>
    <xf numFmtId="0" fontId="66" fillId="15" borderId="13" xfId="0" applyFont="1" applyFill="1" applyBorder="1"/>
    <xf numFmtId="0" fontId="31" fillId="15" borderId="13" xfId="0" applyFont="1" applyFill="1" applyBorder="1"/>
    <xf numFmtId="0" fontId="66" fillId="15" borderId="13" xfId="0" quotePrefix="1" applyFont="1" applyFill="1" applyBorder="1"/>
    <xf numFmtId="0" fontId="31" fillId="6" borderId="13" xfId="0" applyFont="1" applyFill="1" applyBorder="1"/>
    <xf numFmtId="0" fontId="31" fillId="6" borderId="13" xfId="0" quotePrefix="1" applyFont="1" applyFill="1" applyBorder="1"/>
    <xf numFmtId="0" fontId="57" fillId="0" borderId="13" xfId="0" applyFont="1" applyBorder="1"/>
    <xf numFmtId="0" fontId="64" fillId="0" borderId="13" xfId="0" applyFont="1" applyBorder="1"/>
    <xf numFmtId="0" fontId="5" fillId="0" borderId="13" xfId="0" applyFont="1" applyBorder="1"/>
    <xf numFmtId="0" fontId="63" fillId="0" borderId="13" xfId="0" quotePrefix="1" applyFont="1" applyBorder="1" applyAlignment="1">
      <alignment horizontal="center"/>
    </xf>
    <xf numFmtId="0" fontId="30" fillId="0" borderId="13" xfId="0" quotePrefix="1" applyFont="1" applyBorder="1" applyAlignment="1">
      <alignment horizontal="center"/>
    </xf>
    <xf numFmtId="0" fontId="4" fillId="0" borderId="13" xfId="0" applyFont="1" applyBorder="1"/>
    <xf numFmtId="165" fontId="5" fillId="0" borderId="13" xfId="0" applyNumberFormat="1" applyFont="1" applyBorder="1"/>
    <xf numFmtId="0" fontId="28" fillId="3" borderId="13" xfId="0" applyFont="1" applyFill="1" applyBorder="1"/>
    <xf numFmtId="0" fontId="19" fillId="0" borderId="13" xfId="0" applyFont="1" applyBorder="1" applyAlignment="1">
      <alignment horizontal="center"/>
    </xf>
    <xf numFmtId="5" fontId="8" fillId="0" borderId="13" xfId="2" applyNumberFormat="1" applyFont="1" applyFill="1" applyBorder="1" applyAlignment="1" applyProtection="1">
      <alignment vertical="center"/>
    </xf>
    <xf numFmtId="0" fontId="19" fillId="0" borderId="13" xfId="0" applyFont="1" applyFill="1" applyBorder="1" applyAlignment="1">
      <alignment horizontal="center"/>
    </xf>
    <xf numFmtId="5" fontId="1" fillId="0" borderId="13" xfId="0" applyNumberFormat="1" applyFont="1" applyBorder="1"/>
    <xf numFmtId="0" fontId="27" fillId="0" borderId="13" xfId="0" applyFont="1" applyBorder="1"/>
    <xf numFmtId="0" fontId="57" fillId="2" borderId="13" xfId="0" applyFont="1" applyFill="1" applyBorder="1" applyAlignment="1">
      <alignment wrapText="1"/>
    </xf>
    <xf numFmtId="0" fontId="65" fillId="15" borderId="13" xfId="0" applyFont="1" applyFill="1" applyBorder="1"/>
    <xf numFmtId="0" fontId="62" fillId="0" borderId="13" xfId="0" quotePrefix="1" applyFont="1" applyBorder="1"/>
    <xf numFmtId="0" fontId="27" fillId="0" borderId="13" xfId="0" applyFont="1" applyBorder="1" applyAlignment="1">
      <alignment horizontal="center"/>
    </xf>
    <xf numFmtId="5" fontId="28" fillId="0" borderId="13" xfId="0" applyNumberFormat="1" applyFont="1" applyBorder="1" applyAlignment="1">
      <alignment horizontal="right"/>
    </xf>
    <xf numFmtId="0" fontId="66" fillId="0" borderId="13" xfId="0" applyFont="1" applyBorder="1"/>
    <xf numFmtId="0" fontId="57" fillId="3" borderId="13" xfId="0" applyFont="1" applyFill="1" applyBorder="1" applyAlignment="1">
      <alignment wrapText="1"/>
    </xf>
    <xf numFmtId="0" fontId="55" fillId="6" borderId="13" xfId="0" applyFont="1" applyFill="1" applyBorder="1"/>
    <xf numFmtId="166" fontId="53" fillId="6" borderId="13" xfId="0" applyNumberFormat="1" applyFont="1" applyFill="1" applyBorder="1"/>
    <xf numFmtId="165" fontId="53" fillId="6" borderId="13" xfId="3" applyNumberFormat="1" applyFont="1" applyFill="1" applyBorder="1"/>
    <xf numFmtId="166" fontId="0" fillId="0" borderId="13" xfId="0" applyNumberFormat="1" applyBorder="1"/>
    <xf numFmtId="5" fontId="4" fillId="0" borderId="13" xfId="0" applyNumberFormat="1" applyFont="1" applyBorder="1"/>
    <xf numFmtId="0" fontId="64" fillId="0" borderId="13" xfId="0" applyFont="1" applyFill="1" applyBorder="1"/>
    <xf numFmtId="0" fontId="0" fillId="0" borderId="26" xfId="0" applyBorder="1"/>
    <xf numFmtId="167" fontId="67" fillId="0" borderId="13" xfId="0" applyNumberFormat="1" applyFont="1" applyFill="1" applyBorder="1" applyAlignment="1">
      <alignment horizontal="left" vertical="center"/>
    </xf>
    <xf numFmtId="0" fontId="62" fillId="0" borderId="12" xfId="0" applyFont="1" applyBorder="1"/>
    <xf numFmtId="0" fontId="27" fillId="0" borderId="15" xfId="0" applyFont="1" applyBorder="1"/>
    <xf numFmtId="0" fontId="69" fillId="0" borderId="13" xfId="0" applyFont="1" applyBorder="1"/>
    <xf numFmtId="0" fontId="74" fillId="0" borderId="13" xfId="0" applyFont="1" applyBorder="1" applyAlignment="1">
      <alignment horizontal="left" vertical="center"/>
    </xf>
    <xf numFmtId="0" fontId="72" fillId="0" borderId="13" xfId="0" applyFont="1" applyBorder="1" applyAlignment="1">
      <alignment horizontal="left" vertical="center"/>
    </xf>
    <xf numFmtId="167" fontId="75" fillId="0" borderId="13" xfId="0" applyNumberFormat="1" applyFont="1" applyFill="1" applyBorder="1" applyAlignment="1">
      <alignment horizontal="left" vertical="center"/>
    </xf>
    <xf numFmtId="167" fontId="68" fillId="0" borderId="13" xfId="0" applyNumberFormat="1" applyFont="1" applyFill="1" applyBorder="1" applyAlignment="1">
      <alignment horizontal="left" vertical="center"/>
    </xf>
    <xf numFmtId="0" fontId="63" fillId="0" borderId="12" xfId="0" quotePrefix="1" applyFont="1" applyBorder="1" applyAlignment="1">
      <alignment horizontal="center"/>
    </xf>
    <xf numFmtId="0" fontId="27" fillId="0" borderId="12" xfId="0" applyFont="1" applyBorder="1"/>
    <xf numFmtId="0" fontId="64" fillId="0" borderId="12" xfId="0" applyFont="1" applyBorder="1"/>
    <xf numFmtId="0" fontId="64" fillId="0" borderId="15" xfId="0" applyFont="1" applyBorder="1"/>
    <xf numFmtId="167" fontId="75" fillId="0" borderId="12" xfId="0" applyNumberFormat="1" applyFont="1" applyFill="1" applyBorder="1" applyAlignment="1">
      <alignment horizontal="left" vertical="center"/>
    </xf>
    <xf numFmtId="0" fontId="72" fillId="0" borderId="26" xfId="0" applyFont="1" applyBorder="1" applyAlignment="1">
      <alignment horizontal="left" vertical="center"/>
    </xf>
    <xf numFmtId="2" fontId="59" fillId="16" borderId="12" xfId="0" applyNumberFormat="1" applyFont="1" applyFill="1" applyBorder="1" applyAlignment="1">
      <alignment horizontal="right"/>
    </xf>
    <xf numFmtId="2" fontId="79" fillId="20" borderId="0" xfId="6" applyNumberFormat="1" applyFont="1" applyBorder="1" applyAlignment="1">
      <alignment horizontal="right"/>
    </xf>
    <xf numFmtId="164" fontId="79" fillId="20" borderId="13" xfId="6" applyNumberFormat="1" applyFont="1" applyBorder="1" applyAlignment="1">
      <alignment horizontal="right"/>
    </xf>
    <xf numFmtId="164" fontId="64" fillId="6" borderId="13" xfId="0" applyNumberFormat="1" applyFont="1" applyFill="1" applyBorder="1" applyAlignment="1">
      <alignment horizontal="center"/>
    </xf>
    <xf numFmtId="165" fontId="56" fillId="16" borderId="13" xfId="0" applyNumberFormat="1" applyFont="1" applyFill="1" applyBorder="1" applyAlignment="1">
      <alignment horizontal="right"/>
    </xf>
    <xf numFmtId="2" fontId="59" fillId="16" borderId="13" xfId="0" applyNumberFormat="1" applyFont="1" applyFill="1" applyBorder="1" applyAlignment="1">
      <alignment horizontal="right"/>
    </xf>
    <xf numFmtId="166" fontId="57" fillId="0" borderId="13" xfId="0" applyNumberFormat="1" applyFont="1" applyBorder="1"/>
    <xf numFmtId="165" fontId="78" fillId="20" borderId="13" xfId="6" applyNumberFormat="1" applyFont="1" applyBorder="1" applyAlignment="1">
      <alignment horizontal="right"/>
    </xf>
    <xf numFmtId="164" fontId="59" fillId="16" borderId="12" xfId="0" applyNumberFormat="1" applyFont="1" applyFill="1" applyBorder="1" applyAlignment="1">
      <alignment horizontal="right"/>
    </xf>
    <xf numFmtId="7" fontId="78" fillId="20" borderId="0" xfId="6" applyNumberFormat="1" applyFont="1" applyBorder="1" applyAlignment="1">
      <alignment horizontal="right"/>
    </xf>
    <xf numFmtId="165" fontId="59" fillId="16" borderId="12" xfId="0" applyNumberFormat="1" applyFont="1" applyFill="1" applyBorder="1" applyAlignment="1">
      <alignment horizontal="right"/>
    </xf>
    <xf numFmtId="165" fontId="79" fillId="20" borderId="13" xfId="6" applyNumberFormat="1" applyFont="1" applyBorder="1" applyAlignment="1">
      <alignment horizontal="right"/>
    </xf>
    <xf numFmtId="0" fontId="77" fillId="0" borderId="13" xfId="0" applyFont="1" applyBorder="1"/>
    <xf numFmtId="0" fontId="0" fillId="0" borderId="13" xfId="0" applyFill="1" applyBorder="1" applyAlignment="1">
      <alignment horizontal="left" vertical="top"/>
    </xf>
    <xf numFmtId="0" fontId="2" fillId="0" borderId="13" xfId="0" applyFont="1" applyFill="1" applyBorder="1" applyAlignment="1">
      <alignment horizontal="left" vertical="top"/>
    </xf>
    <xf numFmtId="0" fontId="24" fillId="0" borderId="13" xfId="0" applyFont="1" applyBorder="1"/>
    <xf numFmtId="0" fontId="9" fillId="5" borderId="13" xfId="0" applyFont="1" applyFill="1" applyBorder="1" applyAlignment="1">
      <alignment horizontal="center" vertical="top" wrapText="1"/>
    </xf>
    <xf numFmtId="0" fontId="9" fillId="5" borderId="13" xfId="0" applyFont="1" applyFill="1" applyBorder="1" applyAlignment="1">
      <alignment horizontal="right" vertical="top" wrapText="1"/>
    </xf>
    <xf numFmtId="0" fontId="28" fillId="14" borderId="13" xfId="0" applyFont="1" applyFill="1" applyBorder="1" applyAlignment="1">
      <alignment horizontal="left" vertical="center" wrapText="1"/>
    </xf>
    <xf numFmtId="0" fontId="28" fillId="14" borderId="13" xfId="0" applyFont="1" applyFill="1" applyBorder="1" applyAlignment="1">
      <alignment horizontal="center" vertical="center" wrapText="1"/>
    </xf>
    <xf numFmtId="0" fontId="9" fillId="5" borderId="13" xfId="0" applyFont="1" applyFill="1" applyBorder="1" applyAlignment="1">
      <alignment horizontal="left" vertical="top" wrapText="1" indent="3"/>
    </xf>
    <xf numFmtId="0" fontId="8" fillId="0" borderId="13" xfId="0" applyFont="1" applyFill="1" applyBorder="1" applyAlignment="1">
      <alignment horizontal="left" vertical="top" wrapText="1"/>
    </xf>
    <xf numFmtId="165" fontId="26" fillId="0" borderId="13" xfId="0" applyNumberFormat="1" applyFont="1" applyFill="1" applyBorder="1" applyAlignment="1">
      <alignment vertical="top" shrinkToFit="1"/>
    </xf>
    <xf numFmtId="0" fontId="27" fillId="0" borderId="13" xfId="0" applyFont="1" applyBorder="1" applyAlignment="1">
      <alignment horizontal="right" vertical="top"/>
    </xf>
    <xf numFmtId="165" fontId="27" fillId="0" borderId="13" xfId="0" applyNumberFormat="1" applyFont="1" applyFill="1" applyBorder="1" applyAlignment="1">
      <alignment vertical="top"/>
    </xf>
    <xf numFmtId="165" fontId="9" fillId="5" borderId="13" xfId="0" applyNumberFormat="1" applyFont="1" applyFill="1" applyBorder="1" applyAlignment="1">
      <alignment vertical="top" wrapText="1"/>
    </xf>
    <xf numFmtId="0" fontId="27" fillId="0" borderId="13" xfId="0" applyFont="1" applyBorder="1" applyAlignment="1">
      <alignment horizontal="right"/>
    </xf>
    <xf numFmtId="165" fontId="27" fillId="0" borderId="13" xfId="0" applyNumberFormat="1" applyFont="1" applyBorder="1" applyAlignment="1"/>
    <xf numFmtId="0" fontId="23" fillId="0" borderId="12" xfId="0" applyFont="1" applyBorder="1"/>
    <xf numFmtId="2" fontId="81" fillId="20" borderId="0" xfId="6" applyNumberFormat="1" applyFont="1" applyBorder="1" applyAlignment="1">
      <alignment horizontal="right"/>
    </xf>
    <xf numFmtId="0" fontId="0" fillId="0" borderId="26" xfId="0" applyFill="1" applyBorder="1" applyAlignment="1">
      <alignment horizontal="left" vertical="top"/>
    </xf>
    <xf numFmtId="0" fontId="57" fillId="0" borderId="17" xfId="0" applyFont="1" applyBorder="1"/>
    <xf numFmtId="166" fontId="57" fillId="0" borderId="17" xfId="0" applyNumberFormat="1" applyFont="1" applyBorder="1"/>
    <xf numFmtId="165" fontId="64" fillId="0" borderId="15" xfId="0" applyNumberFormat="1" applyFont="1" applyBorder="1"/>
    <xf numFmtId="165" fontId="57" fillId="0" borderId="15" xfId="0" applyNumberFormat="1" applyFont="1" applyBorder="1"/>
    <xf numFmtId="165" fontId="78" fillId="20" borderId="15" xfId="6" applyNumberFormat="1" applyFont="1" applyBorder="1" applyAlignment="1">
      <alignment horizontal="right"/>
    </xf>
    <xf numFmtId="0" fontId="64" fillId="0" borderId="22" xfId="0" applyFont="1" applyFill="1" applyBorder="1"/>
    <xf numFmtId="165" fontId="79" fillId="20" borderId="22" xfId="6" applyNumberFormat="1" applyFont="1" applyBorder="1" applyAlignment="1">
      <alignment horizontal="right"/>
    </xf>
    <xf numFmtId="165" fontId="78" fillId="20" borderId="22" xfId="6" applyNumberFormat="1" applyFont="1" applyBorder="1" applyAlignment="1">
      <alignment horizontal="right"/>
    </xf>
    <xf numFmtId="0" fontId="0" fillId="6" borderId="13" xfId="0" applyFill="1" applyBorder="1"/>
    <xf numFmtId="0" fontId="0" fillId="6" borderId="12" xfId="0" applyFill="1" applyBorder="1"/>
    <xf numFmtId="0" fontId="0" fillId="6" borderId="15" xfId="0" applyFill="1" applyBorder="1"/>
    <xf numFmtId="165" fontId="21" fillId="10" borderId="13" xfId="0" applyNumberFormat="1" applyFont="1" applyFill="1" applyBorder="1" applyAlignment="1" applyProtection="1">
      <alignment horizontal="center"/>
      <protection locked="0"/>
    </xf>
    <xf numFmtId="0" fontId="62" fillId="0" borderId="13" xfId="0" applyFont="1" applyBorder="1" applyProtection="1">
      <protection locked="0"/>
    </xf>
    <xf numFmtId="0" fontId="35" fillId="2" borderId="13" xfId="0" applyFont="1" applyFill="1" applyBorder="1" applyProtection="1">
      <protection locked="0"/>
    </xf>
    <xf numFmtId="2" fontId="21" fillId="10" borderId="13" xfId="0" applyNumberFormat="1" applyFont="1" applyFill="1" applyBorder="1" applyAlignment="1" applyProtection="1">
      <alignment horizontal="center"/>
      <protection locked="0"/>
    </xf>
    <xf numFmtId="4" fontId="21" fillId="10" borderId="13" xfId="0" applyNumberFormat="1" applyFont="1" applyFill="1" applyBorder="1" applyAlignment="1" applyProtection="1">
      <alignment horizontal="center"/>
      <protection locked="0"/>
    </xf>
    <xf numFmtId="2" fontId="82" fillId="16" borderId="12" xfId="0" applyNumberFormat="1" applyFont="1" applyFill="1" applyBorder="1" applyAlignment="1">
      <alignment horizontal="right"/>
    </xf>
    <xf numFmtId="165" fontId="82" fillId="16" borderId="12" xfId="0" applyNumberFormat="1" applyFont="1" applyFill="1" applyBorder="1" applyAlignment="1">
      <alignment horizontal="right"/>
    </xf>
    <xf numFmtId="0" fontId="23" fillId="3" borderId="24" xfId="0" applyFont="1" applyFill="1" applyBorder="1" applyAlignment="1">
      <alignment horizontal="left" vertical="center" wrapText="1"/>
    </xf>
    <xf numFmtId="0" fontId="0" fillId="3" borderId="14" xfId="0" applyFill="1" applyBorder="1"/>
    <xf numFmtId="0" fontId="8" fillId="6" borderId="14" xfId="0" applyFont="1" applyFill="1" applyBorder="1" applyAlignment="1">
      <alignment horizontal="left" vertical="top" wrapText="1"/>
    </xf>
    <xf numFmtId="0" fontId="9" fillId="6" borderId="14" xfId="0" applyFont="1" applyFill="1" applyBorder="1" applyAlignment="1">
      <alignment horizontal="left" vertical="top" wrapText="1"/>
    </xf>
    <xf numFmtId="0" fontId="8" fillId="6" borderId="25" xfId="0" applyFont="1" applyFill="1" applyBorder="1" applyAlignment="1">
      <alignment horizontal="left" vertical="top" wrapText="1"/>
    </xf>
    <xf numFmtId="0" fontId="28" fillId="14" borderId="14" xfId="0" applyFont="1" applyFill="1" applyBorder="1" applyAlignment="1">
      <alignment horizontal="left" vertical="center" wrapText="1" indent="6"/>
    </xf>
    <xf numFmtId="0" fontId="27" fillId="0" borderId="14" xfId="0" applyFont="1" applyBorder="1" applyAlignment="1">
      <alignment horizontal="left" vertical="center" wrapText="1"/>
    </xf>
    <xf numFmtId="0" fontId="27" fillId="4" borderId="14" xfId="0" applyFont="1" applyFill="1" applyBorder="1" applyAlignment="1">
      <alignment horizontal="left" vertical="center" wrapText="1"/>
    </xf>
    <xf numFmtId="0" fontId="27" fillId="0" borderId="14" xfId="0" applyFont="1" applyBorder="1" applyAlignment="1">
      <alignment horizontal="right" vertical="top" wrapText="1"/>
    </xf>
    <xf numFmtId="0" fontId="27" fillId="0" borderId="14" xfId="0" applyFont="1" applyBorder="1" applyAlignment="1">
      <alignment horizontal="right"/>
    </xf>
    <xf numFmtId="0" fontId="27" fillId="0" borderId="25" xfId="0" applyFont="1" applyBorder="1" applyAlignment="1">
      <alignment horizontal="left" vertical="center" wrapText="1"/>
    </xf>
    <xf numFmtId="0" fontId="9" fillId="0" borderId="0" xfId="0" applyFont="1" applyFill="1" applyBorder="1" applyAlignment="1">
      <alignment horizontal="left" vertical="top"/>
    </xf>
    <xf numFmtId="0" fontId="27" fillId="0" borderId="0" xfId="0" applyFont="1" applyFill="1" applyBorder="1" applyAlignment="1">
      <alignment horizontal="left" vertical="top"/>
    </xf>
    <xf numFmtId="0" fontId="9" fillId="5" borderId="0" xfId="0" applyFont="1" applyFill="1" applyBorder="1" applyAlignment="1">
      <alignment horizontal="left" vertical="top" wrapText="1" indent="3"/>
    </xf>
    <xf numFmtId="165" fontId="82" fillId="16" borderId="13" xfId="0" applyNumberFormat="1" applyFont="1" applyFill="1" applyBorder="1" applyAlignment="1">
      <alignment horizontal="right"/>
    </xf>
    <xf numFmtId="0" fontId="9" fillId="0" borderId="13" xfId="0" applyFont="1" applyFill="1" applyBorder="1" applyAlignment="1">
      <alignment horizontal="left" vertical="top"/>
    </xf>
    <xf numFmtId="0" fontId="28" fillId="0" borderId="14" xfId="0" applyFont="1" applyBorder="1"/>
    <xf numFmtId="0" fontId="9" fillId="5" borderId="26" xfId="0" applyFont="1" applyFill="1" applyBorder="1" applyAlignment="1">
      <alignment horizontal="right" vertical="top" wrapText="1"/>
    </xf>
    <xf numFmtId="0" fontId="8" fillId="0" borderId="12" xfId="0" applyFont="1" applyFill="1" applyBorder="1" applyAlignment="1">
      <alignment horizontal="left" vertical="top" wrapText="1"/>
    </xf>
    <xf numFmtId="164" fontId="64" fillId="6" borderId="12" xfId="0" applyNumberFormat="1" applyFont="1" applyFill="1" applyBorder="1" applyAlignment="1">
      <alignment horizontal="center"/>
    </xf>
    <xf numFmtId="164" fontId="79" fillId="20" borderId="12" xfId="6" applyNumberFormat="1" applyFont="1" applyBorder="1" applyAlignment="1">
      <alignment horizontal="right"/>
    </xf>
    <xf numFmtId="0" fontId="55" fillId="19" borderId="41" xfId="0" applyFont="1" applyFill="1" applyBorder="1" applyAlignment="1">
      <alignment wrapText="1"/>
    </xf>
    <xf numFmtId="164" fontId="78" fillId="20" borderId="41" xfId="6" applyNumberFormat="1" applyFont="1" applyBorder="1" applyAlignment="1">
      <alignment horizontal="right"/>
    </xf>
    <xf numFmtId="164" fontId="64" fillId="6" borderId="15" xfId="0" applyNumberFormat="1" applyFont="1" applyFill="1" applyBorder="1" applyAlignment="1">
      <alignment horizontal="center"/>
    </xf>
    <xf numFmtId="164" fontId="59" fillId="16" borderId="42" xfId="0" applyNumberFormat="1" applyFont="1" applyFill="1" applyBorder="1" applyAlignment="1">
      <alignment horizontal="right"/>
    </xf>
    <xf numFmtId="164" fontId="79" fillId="20" borderId="15" xfId="6" applyNumberFormat="1" applyFont="1" applyBorder="1" applyAlignment="1">
      <alignment horizontal="right"/>
    </xf>
    <xf numFmtId="0" fontId="27" fillId="0" borderId="42" xfId="0" applyFont="1" applyBorder="1"/>
    <xf numFmtId="0" fontId="65" fillId="6" borderId="13" xfId="0" applyFont="1" applyFill="1" applyBorder="1"/>
    <xf numFmtId="0" fontId="63" fillId="0" borderId="42" xfId="0" quotePrefix="1" applyFont="1" applyBorder="1" applyAlignment="1">
      <alignment horizontal="center"/>
    </xf>
    <xf numFmtId="164" fontId="82" fillId="16" borderId="33" xfId="0" applyNumberFormat="1" applyFont="1" applyFill="1" applyBorder="1" applyAlignment="1">
      <alignment horizontal="right"/>
    </xf>
    <xf numFmtId="0" fontId="55" fillId="13" borderId="44" xfId="0" applyFont="1" applyFill="1" applyBorder="1" applyAlignment="1">
      <alignment horizontal="center" vertical="center"/>
    </xf>
    <xf numFmtId="0" fontId="53" fillId="0" borderId="43" xfId="0" applyFont="1" applyBorder="1" applyAlignment="1">
      <alignment horizontal="center" vertical="center"/>
    </xf>
    <xf numFmtId="172" fontId="53" fillId="0" borderId="43" xfId="0" applyNumberFormat="1" applyFont="1" applyBorder="1" applyAlignment="1" applyProtection="1">
      <alignment horizontal="center" vertical="center"/>
    </xf>
    <xf numFmtId="164" fontId="61" fillId="0" borderId="43" xfId="0" applyNumberFormat="1" applyFont="1" applyFill="1" applyBorder="1" applyAlignment="1" applyProtection="1">
      <alignment horizontal="centerContinuous" vertical="center"/>
    </xf>
    <xf numFmtId="164" fontId="53" fillId="0" borderId="43" xfId="0" applyNumberFormat="1" applyFont="1" applyFill="1" applyBorder="1" applyAlignment="1" applyProtection="1">
      <alignment horizontal="centerContinuous" vertical="center"/>
    </xf>
    <xf numFmtId="164" fontId="53" fillId="0" borderId="43" xfId="0" applyNumberFormat="1" applyFont="1" applyFill="1" applyBorder="1" applyAlignment="1" applyProtection="1">
      <alignment vertical="center"/>
    </xf>
    <xf numFmtId="164" fontId="58" fillId="0" borderId="43" xfId="0" applyNumberFormat="1" applyFont="1" applyBorder="1"/>
    <xf numFmtId="164" fontId="53" fillId="0" borderId="43" xfId="0" applyNumberFormat="1" applyFont="1" applyBorder="1" applyAlignment="1">
      <alignment horizontal="center"/>
    </xf>
    <xf numFmtId="164" fontId="53" fillId="0" borderId="43" xfId="0" applyNumberFormat="1" applyFont="1" applyBorder="1"/>
    <xf numFmtId="0" fontId="57" fillId="0" borderId="12" xfId="0" applyFont="1" applyBorder="1"/>
    <xf numFmtId="165" fontId="57" fillId="0" borderId="12" xfId="0" applyNumberFormat="1" applyFont="1" applyBorder="1"/>
    <xf numFmtId="0" fontId="64" fillId="2" borderId="17" xfId="0" applyFont="1" applyFill="1" applyBorder="1"/>
    <xf numFmtId="165" fontId="57" fillId="2" borderId="17" xfId="0" applyNumberFormat="1" applyFont="1" applyFill="1" applyBorder="1"/>
    <xf numFmtId="0" fontId="57" fillId="0" borderId="15" xfId="0" applyFont="1" applyFill="1" applyBorder="1"/>
    <xf numFmtId="165" fontId="59" fillId="16" borderId="22" xfId="0" applyNumberFormat="1" applyFont="1" applyFill="1" applyBorder="1" applyAlignment="1">
      <alignment horizontal="right"/>
    </xf>
    <xf numFmtId="9" fontId="64" fillId="21" borderId="13" xfId="5" applyNumberFormat="1" applyFont="1" applyFill="1" applyBorder="1" applyAlignment="1">
      <alignment horizontal="center" vertical="center"/>
    </xf>
    <xf numFmtId="7" fontId="64" fillId="21" borderId="13" xfId="8" applyNumberFormat="1" applyFont="1" applyFill="1" applyBorder="1" applyAlignment="1">
      <alignment horizontal="center" vertical="center"/>
    </xf>
    <xf numFmtId="0" fontId="53" fillId="9" borderId="50" xfId="0" applyFont="1" applyFill="1" applyBorder="1" applyAlignment="1">
      <alignment horizontal="center" vertical="center"/>
    </xf>
    <xf numFmtId="171" fontId="56" fillId="9" borderId="50" xfId="0" applyNumberFormat="1" applyFont="1" applyFill="1" applyBorder="1" applyAlignment="1">
      <alignment horizontal="centerContinuous" vertical="center"/>
    </xf>
    <xf numFmtId="171" fontId="53" fillId="9" borderId="50" xfId="0" applyNumberFormat="1" applyFont="1" applyFill="1" applyBorder="1" applyAlignment="1">
      <alignment horizontal="centerContinuous" vertical="center"/>
    </xf>
    <xf numFmtId="171" fontId="53" fillId="9" borderId="50" xfId="0" applyNumberFormat="1" applyFont="1" applyFill="1" applyBorder="1" applyAlignment="1">
      <alignment horizontal="centerContinuous"/>
    </xf>
    <xf numFmtId="0" fontId="53" fillId="9" borderId="50" xfId="0" applyFont="1" applyFill="1" applyBorder="1" applyAlignment="1">
      <alignment vertical="center"/>
    </xf>
    <xf numFmtId="0" fontId="53" fillId="9" borderId="52" xfId="0" applyFont="1" applyFill="1" applyBorder="1" applyAlignment="1">
      <alignment horizontal="center" vertical="center"/>
    </xf>
    <xf numFmtId="0" fontId="56" fillId="9" borderId="52" xfId="0" applyFont="1" applyFill="1" applyBorder="1" applyAlignment="1">
      <alignment horizontal="center" vertical="center"/>
    </xf>
    <xf numFmtId="0" fontId="59" fillId="9" borderId="52" xfId="0" applyFont="1" applyFill="1" applyBorder="1" applyAlignment="1">
      <alignment horizontal="centerContinuous" vertical="center"/>
    </xf>
    <xf numFmtId="164" fontId="85" fillId="20" borderId="53" xfId="6" applyNumberFormat="1" applyFont="1" applyBorder="1" applyAlignment="1">
      <alignment horizontal="right"/>
    </xf>
    <xf numFmtId="164" fontId="85" fillId="20" borderId="43" xfId="6" applyNumberFormat="1" applyFont="1" applyBorder="1" applyAlignment="1">
      <alignment horizontal="right"/>
    </xf>
    <xf numFmtId="164" fontId="78" fillId="20" borderId="43" xfId="6" applyNumberFormat="1" applyFont="1" applyBorder="1" applyAlignment="1">
      <alignment horizontal="right"/>
    </xf>
    <xf numFmtId="0" fontId="86" fillId="0" borderId="13" xfId="0" applyFont="1" applyBorder="1"/>
    <xf numFmtId="0" fontId="87" fillId="0" borderId="13" xfId="0" applyFont="1" applyBorder="1"/>
    <xf numFmtId="0" fontId="88" fillId="0" borderId="13" xfId="0" applyFont="1" applyBorder="1"/>
    <xf numFmtId="167" fontId="89" fillId="0" borderId="13" xfId="0" applyNumberFormat="1" applyFont="1" applyFill="1" applyBorder="1" applyAlignment="1">
      <alignment horizontal="left" vertical="center"/>
    </xf>
    <xf numFmtId="167" fontId="90" fillId="0" borderId="13" xfId="0" applyNumberFormat="1" applyFont="1" applyFill="1" applyBorder="1" applyAlignment="1">
      <alignment horizontal="left" vertical="center"/>
    </xf>
    <xf numFmtId="0" fontId="91" fillId="0" borderId="13" xfId="0" applyFont="1" applyBorder="1" applyAlignment="1">
      <alignment horizontal="left" vertical="center"/>
    </xf>
    <xf numFmtId="0" fontId="92" fillId="0" borderId="13" xfId="0" applyFont="1" applyBorder="1" applyAlignment="1">
      <alignment horizontal="left" vertical="center"/>
    </xf>
    <xf numFmtId="0" fontId="94" fillId="15" borderId="13" xfId="0" applyFont="1" applyFill="1" applyBorder="1"/>
    <xf numFmtId="0" fontId="95" fillId="15" borderId="13" xfId="0" applyFont="1" applyFill="1" applyBorder="1"/>
    <xf numFmtId="0" fontId="92" fillId="0" borderId="26" xfId="0" applyFont="1" applyBorder="1" applyAlignment="1">
      <alignment horizontal="left" vertical="center"/>
    </xf>
    <xf numFmtId="167" fontId="97" fillId="0" borderId="13" xfId="0" applyNumberFormat="1" applyFont="1" applyFill="1" applyBorder="1" applyAlignment="1">
      <alignment horizontal="left" vertical="center"/>
    </xf>
    <xf numFmtId="0" fontId="98" fillId="0" borderId="13" xfId="0" applyFont="1" applyBorder="1"/>
    <xf numFmtId="0" fontId="100" fillId="0" borderId="12" xfId="0" applyFont="1" applyBorder="1"/>
    <xf numFmtId="0" fontId="86" fillId="0" borderId="26" xfId="0" applyFont="1" applyBorder="1"/>
    <xf numFmtId="0" fontId="100" fillId="9" borderId="27" xfId="0" applyFont="1" applyFill="1" applyBorder="1" applyAlignment="1">
      <alignment vertical="center"/>
    </xf>
    <xf numFmtId="0" fontId="102" fillId="11" borderId="27" xfId="0" applyFont="1" applyFill="1" applyBorder="1" applyAlignment="1">
      <alignment horizontal="center" vertical="center"/>
    </xf>
    <xf numFmtId="0" fontId="102" fillId="12" borderId="27" xfId="0" applyFont="1" applyFill="1" applyBorder="1" applyAlignment="1">
      <alignment horizontal="center" vertical="center"/>
    </xf>
    <xf numFmtId="0" fontId="86" fillId="0" borderId="14" xfId="0" applyFont="1" applyBorder="1"/>
    <xf numFmtId="0" fontId="100" fillId="9" borderId="28" xfId="0" applyFont="1" applyFill="1" applyBorder="1" applyAlignment="1">
      <alignment vertical="center"/>
    </xf>
    <xf numFmtId="0" fontId="101" fillId="9" borderId="30" xfId="0" applyFont="1" applyFill="1" applyBorder="1" applyAlignment="1">
      <alignment horizontal="centerContinuous" vertical="center"/>
    </xf>
    <xf numFmtId="0" fontId="101" fillId="9" borderId="30" xfId="0" applyFont="1" applyFill="1" applyBorder="1" applyAlignment="1">
      <alignment horizontal="center" vertical="center"/>
    </xf>
    <xf numFmtId="0" fontId="102" fillId="11" borderId="28" xfId="0" applyFont="1" applyFill="1" applyBorder="1" applyAlignment="1">
      <alignment horizontal="center" vertical="center"/>
    </xf>
    <xf numFmtId="0" fontId="102" fillId="12" borderId="28" xfId="0" applyFont="1" applyFill="1" applyBorder="1" applyAlignment="1">
      <alignment horizontal="center" vertical="center"/>
    </xf>
    <xf numFmtId="0" fontId="100" fillId="9" borderId="28" xfId="0" applyFont="1" applyFill="1" applyBorder="1"/>
    <xf numFmtId="0" fontId="101" fillId="9" borderId="28" xfId="0" applyFont="1" applyFill="1" applyBorder="1" applyAlignment="1">
      <alignment horizontal="center" vertical="center"/>
    </xf>
    <xf numFmtId="0" fontId="102" fillId="9" borderId="28" xfId="0" applyFont="1" applyFill="1" applyBorder="1" applyAlignment="1">
      <alignment horizontal="center" vertical="center"/>
    </xf>
    <xf numFmtId="0" fontId="103" fillId="9" borderId="29" xfId="0" applyFont="1" applyFill="1" applyBorder="1" applyAlignment="1">
      <alignment vertical="center"/>
    </xf>
    <xf numFmtId="0" fontId="101" fillId="9" borderId="29" xfId="0" applyFont="1" applyFill="1" applyBorder="1" applyAlignment="1">
      <alignment horizontal="center" vertical="center"/>
    </xf>
    <xf numFmtId="0" fontId="102" fillId="11" borderId="29" xfId="0" applyFont="1" applyFill="1" applyBorder="1" applyAlignment="1">
      <alignment horizontal="center" vertical="center"/>
    </xf>
    <xf numFmtId="0" fontId="102" fillId="12" borderId="29" xfId="0" applyFont="1" applyFill="1" applyBorder="1" applyAlignment="1">
      <alignment horizontal="center" vertical="center"/>
    </xf>
    <xf numFmtId="167" fontId="102" fillId="13" borderId="1" xfId="0" applyNumberFormat="1" applyFont="1" applyFill="1" applyBorder="1" applyAlignment="1"/>
    <xf numFmtId="167" fontId="100" fillId="13" borderId="1" xfId="0" applyNumberFormat="1" applyFont="1" applyFill="1" applyBorder="1" applyAlignment="1">
      <alignment horizontal="center"/>
    </xf>
    <xf numFmtId="171" fontId="100" fillId="13" borderId="1" xfId="0" applyNumberFormat="1" applyFont="1" applyFill="1" applyBorder="1"/>
    <xf numFmtId="0" fontId="100" fillId="0" borderId="30" xfId="0" applyFont="1" applyBorder="1" applyAlignment="1">
      <alignment horizontal="center" vertical="center"/>
    </xf>
    <xf numFmtId="167" fontId="100" fillId="0" borderId="30" xfId="0" applyNumberFormat="1" applyFont="1" applyFill="1" applyBorder="1" applyAlignment="1">
      <alignment horizontal="center"/>
    </xf>
    <xf numFmtId="171" fontId="100" fillId="0" borderId="30" xfId="0" applyNumberFormat="1" applyFont="1" applyFill="1" applyBorder="1"/>
    <xf numFmtId="164" fontId="96" fillId="20" borderId="30" xfId="6" applyNumberFormat="1" applyFont="1" applyBorder="1" applyAlignment="1">
      <alignment horizontal="right"/>
    </xf>
    <xf numFmtId="164" fontId="99" fillId="20" borderId="30" xfId="6" applyNumberFormat="1" applyFont="1" applyBorder="1" applyAlignment="1">
      <alignment horizontal="right"/>
    </xf>
    <xf numFmtId="0" fontId="100" fillId="0" borderId="28" xfId="0" applyFont="1" applyBorder="1" applyAlignment="1">
      <alignment horizontal="center" vertical="center"/>
    </xf>
    <xf numFmtId="167" fontId="100" fillId="0" borderId="28" xfId="0" applyNumberFormat="1" applyFont="1" applyFill="1" applyBorder="1" applyAlignment="1">
      <alignment horizontal="center"/>
    </xf>
    <xf numFmtId="171" fontId="100" fillId="0" borderId="28" xfId="0" applyNumberFormat="1" applyFont="1" applyFill="1" applyBorder="1"/>
    <xf numFmtId="164" fontId="96" fillId="20" borderId="28" xfId="6" applyNumberFormat="1" applyFont="1" applyBorder="1" applyAlignment="1">
      <alignment horizontal="right"/>
    </xf>
    <xf numFmtId="164" fontId="99" fillId="20" borderId="28" xfId="6" applyNumberFormat="1" applyFont="1" applyBorder="1" applyAlignment="1">
      <alignment horizontal="right"/>
    </xf>
    <xf numFmtId="0" fontId="100" fillId="0" borderId="38" xfId="0" applyFont="1" applyBorder="1" applyAlignment="1">
      <alignment horizontal="center" vertical="center"/>
    </xf>
    <xf numFmtId="167" fontId="100" fillId="0" borderId="38" xfId="0" applyNumberFormat="1" applyFont="1" applyFill="1" applyBorder="1" applyAlignment="1">
      <alignment horizontal="center"/>
    </xf>
    <xf numFmtId="171" fontId="100" fillId="0" borderId="38" xfId="0" applyNumberFormat="1" applyFont="1" applyFill="1" applyBorder="1"/>
    <xf numFmtId="164" fontId="96" fillId="20" borderId="38" xfId="6" applyNumberFormat="1" applyFont="1" applyBorder="1" applyAlignment="1">
      <alignment horizontal="right"/>
    </xf>
    <xf numFmtId="164" fontId="99" fillId="20" borderId="38" xfId="6" applyNumberFormat="1" applyFont="1" applyBorder="1" applyAlignment="1">
      <alignment horizontal="right"/>
    </xf>
    <xf numFmtId="172" fontId="100" fillId="0" borderId="30" xfId="0" applyNumberFormat="1" applyFont="1" applyBorder="1" applyAlignment="1" applyProtection="1">
      <alignment horizontal="center" vertical="center"/>
    </xf>
    <xf numFmtId="164" fontId="104" fillId="20" borderId="30" xfId="6" applyNumberFormat="1" applyFont="1" applyBorder="1" applyAlignment="1">
      <alignment horizontal="right"/>
    </xf>
    <xf numFmtId="175" fontId="86" fillId="0" borderId="13" xfId="8" applyNumberFormat="1" applyFont="1" applyBorder="1"/>
    <xf numFmtId="172" fontId="100" fillId="0" borderId="28" xfId="0" applyNumberFormat="1" applyFont="1" applyBorder="1" applyAlignment="1" applyProtection="1">
      <alignment horizontal="center" vertical="center"/>
    </xf>
    <xf numFmtId="164" fontId="104" fillId="20" borderId="28" xfId="6" applyNumberFormat="1" applyFont="1" applyBorder="1" applyAlignment="1">
      <alignment horizontal="right"/>
    </xf>
    <xf numFmtId="172" fontId="100" fillId="0" borderId="29" xfId="0" applyNumberFormat="1" applyFont="1" applyBorder="1" applyAlignment="1" applyProtection="1">
      <alignment horizontal="center" vertical="center"/>
    </xf>
    <xf numFmtId="164" fontId="104" fillId="20" borderId="38" xfId="6" applyNumberFormat="1" applyFont="1" applyBorder="1" applyAlignment="1">
      <alignment horizontal="right"/>
    </xf>
    <xf numFmtId="0" fontId="102" fillId="0" borderId="1" xfId="0" applyFont="1" applyBorder="1" applyAlignment="1">
      <alignment horizontal="center" vertical="center"/>
    </xf>
    <xf numFmtId="164" fontId="104" fillId="20" borderId="1" xfId="6" applyNumberFormat="1" applyFont="1" applyBorder="1" applyAlignment="1">
      <alignment horizontal="right"/>
    </xf>
    <xf numFmtId="164" fontId="105" fillId="20" borderId="1" xfId="6" applyNumberFormat="1" applyFont="1" applyBorder="1" applyAlignment="1">
      <alignment horizontal="right"/>
    </xf>
    <xf numFmtId="0" fontId="98" fillId="0" borderId="15" xfId="0" applyFont="1" applyBorder="1"/>
    <xf numFmtId="0" fontId="106" fillId="0" borderId="13" xfId="0" applyFont="1" applyBorder="1"/>
    <xf numFmtId="37" fontId="100" fillId="0" borderId="13" xfId="2" applyNumberFormat="1" applyFont="1" applyFill="1" applyBorder="1" applyAlignment="1" applyProtection="1">
      <alignment vertical="center"/>
    </xf>
    <xf numFmtId="5" fontId="98" fillId="0" borderId="13" xfId="0" applyNumberFormat="1" applyFont="1" applyBorder="1"/>
    <xf numFmtId="5" fontId="106" fillId="0" borderId="13" xfId="0" applyNumberFormat="1" applyFont="1" applyBorder="1"/>
    <xf numFmtId="5" fontId="86" fillId="0" borderId="13" xfId="0" applyNumberFormat="1" applyFont="1" applyBorder="1"/>
    <xf numFmtId="5" fontId="100" fillId="0" borderId="13" xfId="2" applyNumberFormat="1" applyFont="1" applyFill="1" applyBorder="1" applyAlignment="1" applyProtection="1">
      <alignment vertical="center"/>
    </xf>
    <xf numFmtId="0" fontId="107" fillId="0" borderId="13" xfId="0" applyFont="1" applyBorder="1"/>
    <xf numFmtId="0" fontId="119" fillId="10" borderId="15" xfId="0" applyFont="1" applyFill="1" applyBorder="1" applyAlignment="1" applyProtection="1">
      <alignment horizontal="center" vertical="center"/>
      <protection locked="0"/>
    </xf>
    <xf numFmtId="2" fontId="119" fillId="10" borderId="15" xfId="0" applyNumberFormat="1" applyFont="1" applyFill="1" applyBorder="1" applyAlignment="1" applyProtection="1">
      <alignment horizontal="center" vertical="center"/>
      <protection locked="0"/>
    </xf>
    <xf numFmtId="0" fontId="119" fillId="10" borderId="13" xfId="0" applyFont="1" applyFill="1" applyBorder="1" applyAlignment="1" applyProtection="1">
      <alignment horizontal="center" vertical="center"/>
      <protection locked="0"/>
    </xf>
    <xf numFmtId="0" fontId="119" fillId="10" borderId="12" xfId="0" applyFont="1" applyFill="1" applyBorder="1" applyAlignment="1" applyProtection="1">
      <alignment horizontal="center" vertical="center"/>
      <protection locked="0"/>
    </xf>
    <xf numFmtId="4" fontId="119" fillId="16" borderId="13" xfId="0" applyNumberFormat="1" applyFont="1" applyFill="1" applyBorder="1" applyAlignment="1" applyProtection="1">
      <alignment horizontal="left"/>
      <protection locked="0"/>
    </xf>
    <xf numFmtId="4" fontId="119" fillId="16" borderId="13" xfId="0" applyNumberFormat="1" applyFont="1" applyFill="1" applyBorder="1" applyAlignment="1" applyProtection="1">
      <alignment horizontal="center"/>
      <protection locked="0"/>
    </xf>
    <xf numFmtId="0" fontId="126" fillId="19" borderId="41" xfId="0" applyFont="1" applyFill="1" applyBorder="1" applyAlignment="1" applyProtection="1">
      <alignment wrapText="1"/>
    </xf>
    <xf numFmtId="0" fontId="124" fillId="0" borderId="15" xfId="0" applyFont="1" applyFill="1" applyBorder="1" applyAlignment="1" applyProtection="1">
      <alignment horizontal="center" wrapText="1"/>
    </xf>
    <xf numFmtId="0" fontId="124" fillId="0" borderId="13" xfId="0" applyFont="1" applyBorder="1" applyAlignment="1" applyProtection="1">
      <alignment horizontal="center"/>
    </xf>
    <xf numFmtId="0" fontId="124" fillId="0" borderId="13" xfId="0" applyFont="1" applyFill="1" applyBorder="1" applyAlignment="1" applyProtection="1">
      <alignment horizontal="center" wrapText="1"/>
    </xf>
    <xf numFmtId="0" fontId="124" fillId="0" borderId="22" xfId="0" applyFont="1" applyFill="1" applyBorder="1" applyAlignment="1" applyProtection="1">
      <alignment horizontal="center" wrapText="1"/>
    </xf>
    <xf numFmtId="2" fontId="120" fillId="20" borderId="15" xfId="6" applyNumberFormat="1" applyFont="1" applyBorder="1" applyAlignment="1" applyProtection="1">
      <alignment horizontal="right"/>
    </xf>
    <xf numFmtId="2" fontId="120" fillId="20" borderId="13" xfId="6" applyNumberFormat="1" applyFont="1" applyBorder="1" applyAlignment="1" applyProtection="1">
      <alignment horizontal="right"/>
    </xf>
    <xf numFmtId="2" fontId="120" fillId="20" borderId="22" xfId="6" applyNumberFormat="1" applyFont="1" applyBorder="1" applyAlignment="1" applyProtection="1">
      <alignment horizontal="right"/>
    </xf>
    <xf numFmtId="0" fontId="113" fillId="0" borderId="13" xfId="0" applyFont="1" applyBorder="1" applyProtection="1">
      <protection locked="0"/>
    </xf>
    <xf numFmtId="167" fontId="114" fillId="0" borderId="13" xfId="0" applyNumberFormat="1" applyFont="1" applyFill="1" applyBorder="1" applyAlignment="1" applyProtection="1">
      <alignment horizontal="left" vertical="center"/>
      <protection locked="0"/>
    </xf>
    <xf numFmtId="0" fontId="115" fillId="0" borderId="13" xfId="0" applyFont="1" applyBorder="1" applyProtection="1">
      <protection locked="0"/>
    </xf>
    <xf numFmtId="0" fontId="116" fillId="0" borderId="13" xfId="0" applyFont="1" applyBorder="1" applyAlignment="1" applyProtection="1">
      <alignment horizontal="left" vertical="center"/>
      <protection locked="0"/>
    </xf>
    <xf numFmtId="0" fontId="117" fillId="0" borderId="13" xfId="0" applyFont="1" applyBorder="1" applyProtection="1">
      <protection locked="0"/>
    </xf>
    <xf numFmtId="0" fontId="118" fillId="0" borderId="13" xfId="0" applyFont="1" applyBorder="1" applyAlignment="1" applyProtection="1">
      <alignment horizontal="left" vertical="center"/>
      <protection locked="0"/>
    </xf>
    <xf numFmtId="2" fontId="119" fillId="10" borderId="13" xfId="0" applyNumberFormat="1" applyFont="1" applyFill="1" applyBorder="1" applyAlignment="1" applyProtection="1">
      <alignment horizontal="right" vertical="center"/>
      <protection locked="0"/>
    </xf>
    <xf numFmtId="2" fontId="119" fillId="16" borderId="12" xfId="0" applyNumberFormat="1" applyFont="1" applyFill="1" applyBorder="1" applyAlignment="1" applyProtection="1">
      <alignment horizontal="right"/>
      <protection locked="0"/>
    </xf>
    <xf numFmtId="0" fontId="118" fillId="0" borderId="26" xfId="0" applyFont="1" applyBorder="1" applyAlignment="1" applyProtection="1">
      <alignment horizontal="left" vertical="center"/>
      <protection locked="0"/>
    </xf>
    <xf numFmtId="0" fontId="113" fillId="0" borderId="14" xfId="0" applyFont="1" applyBorder="1" applyProtection="1">
      <protection locked="0"/>
    </xf>
    <xf numFmtId="0" fontId="115" fillId="0" borderId="14" xfId="0" applyFont="1" applyBorder="1" applyProtection="1">
      <protection locked="0"/>
    </xf>
    <xf numFmtId="167" fontId="114" fillId="0" borderId="12" xfId="0" applyNumberFormat="1" applyFont="1" applyFill="1" applyBorder="1" applyAlignment="1" applyProtection="1">
      <alignment horizontal="left" vertical="center"/>
      <protection locked="0"/>
    </xf>
    <xf numFmtId="0" fontId="123" fillId="0" borderId="12" xfId="0" applyFont="1" applyBorder="1" applyProtection="1">
      <protection locked="0"/>
    </xf>
    <xf numFmtId="0" fontId="124" fillId="0" borderId="33" xfId="0" applyFont="1" applyBorder="1" applyProtection="1">
      <protection locked="0"/>
    </xf>
    <xf numFmtId="174" fontId="124" fillId="0" borderId="12" xfId="0" applyNumberFormat="1" applyFont="1" applyBorder="1" applyProtection="1">
      <protection locked="0"/>
    </xf>
    <xf numFmtId="0" fontId="123" fillId="0" borderId="13" xfId="0" applyFont="1" applyBorder="1" applyProtection="1">
      <protection locked="0"/>
    </xf>
    <xf numFmtId="0" fontId="125" fillId="0" borderId="13" xfId="0" applyFont="1" applyFill="1" applyBorder="1" applyProtection="1">
      <protection locked="0"/>
    </xf>
    <xf numFmtId="0" fontId="125" fillId="0" borderId="13" xfId="0" applyFont="1" applyBorder="1" applyProtection="1">
      <protection locked="0"/>
    </xf>
    <xf numFmtId="167" fontId="114" fillId="0" borderId="26" xfId="0" applyNumberFormat="1" applyFont="1" applyFill="1" applyBorder="1" applyAlignment="1" applyProtection="1">
      <alignment horizontal="left" vertical="center"/>
      <protection locked="0"/>
    </xf>
    <xf numFmtId="0" fontId="126" fillId="19" borderId="47" xfId="0" applyFont="1" applyFill="1" applyBorder="1" applyAlignment="1" applyProtection="1">
      <alignment wrapText="1"/>
      <protection locked="0"/>
    </xf>
    <xf numFmtId="0" fontId="126" fillId="19" borderId="47" xfId="0" applyFont="1" applyFill="1" applyBorder="1" applyAlignment="1" applyProtection="1">
      <alignment horizontal="left" wrapText="1"/>
      <protection locked="0"/>
    </xf>
    <xf numFmtId="0" fontId="126" fillId="19" borderId="47" xfId="0" applyFont="1" applyFill="1" applyBorder="1" applyAlignment="1" applyProtection="1">
      <alignment horizontal="center" wrapText="1"/>
      <protection locked="0"/>
    </xf>
    <xf numFmtId="0" fontId="113" fillId="0" borderId="0" xfId="0" applyFont="1" applyProtection="1">
      <protection locked="0"/>
    </xf>
    <xf numFmtId="0" fontId="127" fillId="6" borderId="15" xfId="0" quotePrefix="1" applyFont="1" applyFill="1" applyBorder="1" applyAlignment="1" applyProtection="1">
      <alignment horizontal="center" vertical="center"/>
      <protection locked="0"/>
    </xf>
    <xf numFmtId="0" fontId="123" fillId="0" borderId="14" xfId="0" applyFont="1" applyBorder="1" applyProtection="1">
      <protection locked="0"/>
    </xf>
    <xf numFmtId="0" fontId="127" fillId="6" borderId="13" xfId="0" quotePrefix="1" applyFont="1" applyFill="1" applyBorder="1" applyAlignment="1" applyProtection="1">
      <alignment horizontal="center" vertical="center"/>
      <protection locked="0"/>
    </xf>
    <xf numFmtId="0" fontId="127" fillId="6" borderId="12" xfId="0" quotePrefix="1" applyFont="1" applyFill="1" applyBorder="1" applyAlignment="1" applyProtection="1">
      <alignment horizontal="center" vertical="center"/>
      <protection locked="0"/>
    </xf>
    <xf numFmtId="0" fontId="126" fillId="19" borderId="46" xfId="0" applyFont="1" applyFill="1" applyBorder="1" applyAlignment="1" applyProtection="1">
      <alignment wrapText="1"/>
      <protection locked="0"/>
    </xf>
    <xf numFmtId="0" fontId="113" fillId="0" borderId="46" xfId="0" applyFont="1" applyBorder="1" applyProtection="1">
      <protection locked="0"/>
    </xf>
    <xf numFmtId="0" fontId="113" fillId="0" borderId="15" xfId="0" applyFont="1" applyBorder="1" applyProtection="1">
      <protection locked="0"/>
    </xf>
    <xf numFmtId="0" fontId="124" fillId="0" borderId="15" xfId="0" applyFont="1" applyBorder="1" applyProtection="1">
      <protection locked="0"/>
    </xf>
    <xf numFmtId="0" fontId="124" fillId="0" borderId="31" xfId="0" applyFont="1" applyBorder="1" applyProtection="1">
      <protection locked="0"/>
    </xf>
    <xf numFmtId="174" fontId="124" fillId="0" borderId="15" xfId="0" applyNumberFormat="1" applyFont="1" applyBorder="1" applyProtection="1">
      <protection locked="0"/>
    </xf>
    <xf numFmtId="167" fontId="128" fillId="0" borderId="13" xfId="0" applyNumberFormat="1" applyFont="1" applyFill="1" applyBorder="1" applyAlignment="1" applyProtection="1">
      <alignment horizontal="left" vertical="center"/>
      <protection locked="0"/>
    </xf>
    <xf numFmtId="0" fontId="129" fillId="15" borderId="13" xfId="0" applyFont="1" applyFill="1" applyBorder="1" applyProtection="1">
      <protection locked="0"/>
    </xf>
    <xf numFmtId="0" fontId="129" fillId="15" borderId="13" xfId="0" quotePrefix="1" applyFont="1" applyFill="1" applyBorder="1" applyProtection="1">
      <protection locked="0"/>
    </xf>
    <xf numFmtId="0" fontId="130" fillId="15" borderId="13" xfId="0" applyFont="1" applyFill="1" applyBorder="1" applyProtection="1">
      <protection locked="0"/>
    </xf>
    <xf numFmtId="0" fontId="115" fillId="15" borderId="13" xfId="0" applyFont="1" applyFill="1" applyBorder="1" applyProtection="1">
      <protection locked="0"/>
    </xf>
    <xf numFmtId="0" fontId="117" fillId="0" borderId="12" xfId="0" applyFont="1" applyBorder="1" applyProtection="1">
      <protection locked="0"/>
    </xf>
    <xf numFmtId="0" fontId="131" fillId="0" borderId="12" xfId="0" quotePrefix="1" applyFont="1" applyBorder="1" applyAlignment="1" applyProtection="1">
      <alignment horizontal="center"/>
      <protection locked="0"/>
    </xf>
    <xf numFmtId="0" fontId="115" fillId="0" borderId="12" xfId="0" applyFont="1" applyBorder="1" applyProtection="1">
      <protection locked="0"/>
    </xf>
    <xf numFmtId="0" fontId="115" fillId="0" borderId="26" xfId="0" applyFont="1" applyBorder="1" applyProtection="1">
      <protection locked="0"/>
    </xf>
    <xf numFmtId="0" fontId="126" fillId="19" borderId="41" xfId="0" applyFont="1" applyFill="1" applyBorder="1" applyAlignment="1" applyProtection="1">
      <alignment wrapText="1"/>
      <protection locked="0"/>
    </xf>
    <xf numFmtId="0" fontId="117" fillId="0" borderId="14" xfId="0" applyFont="1" applyBorder="1" applyProtection="1">
      <protection locked="0"/>
    </xf>
    <xf numFmtId="0" fontId="115" fillId="0" borderId="15" xfId="0" applyFont="1" applyBorder="1" applyProtection="1">
      <protection locked="0"/>
    </xf>
    <xf numFmtId="0" fontId="117" fillId="0" borderId="15" xfId="0" applyFont="1" applyBorder="1" applyProtection="1">
      <protection locked="0"/>
    </xf>
    <xf numFmtId="0" fontId="122" fillId="0" borderId="13" xfId="0" applyFont="1" applyFill="1" applyBorder="1" applyAlignment="1" applyProtection="1">
      <alignment vertical="center"/>
      <protection locked="0"/>
    </xf>
    <xf numFmtId="0" fontId="122" fillId="0" borderId="14" xfId="0" applyFont="1" applyFill="1" applyBorder="1" applyAlignment="1" applyProtection="1">
      <alignment vertical="center"/>
      <protection locked="0"/>
    </xf>
    <xf numFmtId="0" fontId="119" fillId="9" borderId="13" xfId="0" applyFont="1" applyFill="1" applyBorder="1" applyProtection="1">
      <protection locked="0"/>
    </xf>
    <xf numFmtId="0" fontId="133" fillId="0" borderId="14" xfId="0" applyFont="1" applyBorder="1" applyProtection="1">
      <protection locked="0"/>
    </xf>
    <xf numFmtId="0" fontId="113" fillId="0" borderId="12" xfId="0" applyFont="1" applyBorder="1" applyProtection="1">
      <protection locked="0"/>
    </xf>
    <xf numFmtId="0" fontId="113" fillId="0" borderId="26" xfId="0" applyFont="1" applyBorder="1" applyProtection="1">
      <protection locked="0"/>
    </xf>
    <xf numFmtId="0" fontId="55" fillId="19" borderId="41" xfId="0" applyFont="1" applyFill="1" applyBorder="1" applyAlignment="1" applyProtection="1">
      <alignment wrapText="1"/>
    </xf>
    <xf numFmtId="0" fontId="64" fillId="0" borderId="15" xfId="0" applyFont="1" applyFill="1" applyBorder="1" applyAlignment="1" applyProtection="1">
      <alignment horizontal="center" wrapText="1"/>
    </xf>
    <xf numFmtId="0" fontId="0" fillId="0" borderId="12" xfId="0" applyBorder="1" applyProtection="1">
      <protection locked="0"/>
    </xf>
    <xf numFmtId="0" fontId="68" fillId="0" borderId="12" xfId="0" applyFont="1" applyBorder="1" applyProtection="1">
      <protection locked="0"/>
    </xf>
    <xf numFmtId="0" fontId="0" fillId="0" borderId="13" xfId="0" applyBorder="1" applyProtection="1">
      <protection locked="0"/>
    </xf>
    <xf numFmtId="0" fontId="73" fillId="0" borderId="12" xfId="0" applyFont="1" applyBorder="1" applyProtection="1">
      <protection locked="0"/>
    </xf>
    <xf numFmtId="0" fontId="62" fillId="0" borderId="24" xfId="0" applyFont="1" applyBorder="1" applyProtection="1">
      <protection locked="0"/>
    </xf>
    <xf numFmtId="0" fontId="62" fillId="0" borderId="16" xfId="0" applyFont="1" applyBorder="1" applyProtection="1">
      <protection locked="0"/>
    </xf>
    <xf numFmtId="0" fontId="62" fillId="0" borderId="17" xfId="0" applyFont="1" applyBorder="1" applyProtection="1">
      <protection locked="0"/>
    </xf>
    <xf numFmtId="0" fontId="17" fillId="0" borderId="17" xfId="0" applyFont="1" applyBorder="1" applyProtection="1">
      <protection locked="0"/>
    </xf>
    <xf numFmtId="0" fontId="62" fillId="0" borderId="18" xfId="0" applyFont="1" applyBorder="1" applyProtection="1">
      <protection locked="0"/>
    </xf>
    <xf numFmtId="0" fontId="62" fillId="0" borderId="14" xfId="0" applyFont="1" applyBorder="1" applyProtection="1">
      <protection locked="0"/>
    </xf>
    <xf numFmtId="0" fontId="62" fillId="0" borderId="19" xfId="0" applyFont="1" applyBorder="1" applyProtection="1">
      <protection locked="0"/>
    </xf>
    <xf numFmtId="165" fontId="21" fillId="16" borderId="13" xfId="0" applyNumberFormat="1" applyFont="1" applyFill="1" applyBorder="1" applyAlignment="1" applyProtection="1">
      <protection locked="0"/>
    </xf>
    <xf numFmtId="0" fontId="74" fillId="0" borderId="13" xfId="0" applyFont="1" applyBorder="1" applyAlignment="1" applyProtection="1">
      <alignment horizontal="left" vertical="center"/>
      <protection locked="0"/>
    </xf>
    <xf numFmtId="0" fontId="62" fillId="0" borderId="20" xfId="0" applyFont="1" applyBorder="1" applyProtection="1">
      <protection locked="0"/>
    </xf>
    <xf numFmtId="0" fontId="72" fillId="0" borderId="13" xfId="0" applyFont="1" applyBorder="1" applyAlignment="1" applyProtection="1">
      <alignment horizontal="left" vertical="center"/>
      <protection locked="0"/>
    </xf>
    <xf numFmtId="0" fontId="59" fillId="10" borderId="13" xfId="0" applyFont="1" applyFill="1" applyBorder="1" applyAlignment="1" applyProtection="1">
      <alignment horizontal="left" vertical="center"/>
      <protection locked="0"/>
    </xf>
    <xf numFmtId="0" fontId="54" fillId="0" borderId="13" xfId="0" applyFont="1" applyBorder="1" applyProtection="1">
      <protection locked="0"/>
    </xf>
    <xf numFmtId="0" fontId="17" fillId="0" borderId="13" xfId="0" applyFont="1" applyBorder="1" applyProtection="1">
      <protection locked="0"/>
    </xf>
    <xf numFmtId="0" fontId="62" fillId="0" borderId="25" xfId="0" applyFont="1" applyBorder="1" applyProtection="1">
      <protection locked="0"/>
    </xf>
    <xf numFmtId="0" fontId="62" fillId="0" borderId="21" xfId="0" applyFont="1" applyBorder="1" applyProtection="1">
      <protection locked="0"/>
    </xf>
    <xf numFmtId="0" fontId="62" fillId="0" borderId="22" xfId="0" applyFont="1" applyBorder="1" applyProtection="1">
      <protection locked="0"/>
    </xf>
    <xf numFmtId="0" fontId="62" fillId="0" borderId="23" xfId="0" applyFont="1" applyBorder="1" applyProtection="1">
      <protection locked="0"/>
    </xf>
    <xf numFmtId="0" fontId="35" fillId="9" borderId="13" xfId="0" applyFont="1" applyFill="1" applyBorder="1" applyProtection="1"/>
    <xf numFmtId="165" fontId="21" fillId="16" borderId="13" xfId="0" applyNumberFormat="1" applyFont="1" applyFill="1" applyBorder="1" applyAlignment="1" applyProtection="1"/>
    <xf numFmtId="0" fontId="62" fillId="0" borderId="13" xfId="0" applyFont="1" applyBorder="1" applyProtection="1"/>
    <xf numFmtId="0" fontId="54" fillId="0" borderId="13" xfId="0" applyFont="1" applyBorder="1" applyProtection="1"/>
    <xf numFmtId="165" fontId="21" fillId="16" borderId="13" xfId="0" applyNumberFormat="1" applyFont="1" applyFill="1" applyBorder="1" applyAlignment="1" applyProtection="1">
      <alignment horizontal="center"/>
    </xf>
    <xf numFmtId="0" fontId="35" fillId="2" borderId="13" xfId="0" applyFont="1" applyFill="1" applyBorder="1" applyProtection="1"/>
    <xf numFmtId="0" fontId="21" fillId="9" borderId="13" xfId="0" applyFont="1" applyFill="1" applyBorder="1" applyProtection="1"/>
    <xf numFmtId="4" fontId="21" fillId="16" borderId="13" xfId="0" applyNumberFormat="1" applyFont="1" applyFill="1" applyBorder="1" applyAlignment="1" applyProtection="1">
      <alignment horizontal="center"/>
    </xf>
    <xf numFmtId="2" fontId="21" fillId="16" borderId="13" xfId="0" applyNumberFormat="1" applyFont="1" applyFill="1" applyBorder="1" applyAlignment="1" applyProtection="1">
      <alignment horizontal="center"/>
    </xf>
    <xf numFmtId="0" fontId="35" fillId="6" borderId="13" xfId="0" applyFont="1" applyFill="1" applyBorder="1" applyProtection="1"/>
    <xf numFmtId="0" fontId="62" fillId="6" borderId="13" xfId="0" applyFont="1" applyFill="1" applyBorder="1" applyProtection="1"/>
    <xf numFmtId="165" fontId="54" fillId="2" borderId="13" xfId="0" applyNumberFormat="1" applyFont="1" applyFill="1" applyBorder="1" applyProtection="1"/>
    <xf numFmtId="0" fontId="62" fillId="0" borderId="26" xfId="0" applyFont="1" applyBorder="1" applyProtection="1">
      <protection locked="0"/>
    </xf>
    <xf numFmtId="0" fontId="62" fillId="0" borderId="54" xfId="0" applyFont="1" applyBorder="1" applyProtection="1">
      <protection locked="0"/>
    </xf>
    <xf numFmtId="0" fontId="62" fillId="0" borderId="12" xfId="0" applyFont="1" applyBorder="1" applyProtection="1">
      <protection locked="0"/>
    </xf>
    <xf numFmtId="0" fontId="62" fillId="0" borderId="15" xfId="0" applyFont="1" applyBorder="1" applyProtection="1">
      <protection locked="0"/>
    </xf>
    <xf numFmtId="0" fontId="17" fillId="0" borderId="15" xfId="0" applyFont="1" applyBorder="1" applyProtection="1">
      <protection locked="0"/>
    </xf>
    <xf numFmtId="0" fontId="3" fillId="0" borderId="26" xfId="0" applyFont="1" applyBorder="1"/>
    <xf numFmtId="0" fontId="72" fillId="0" borderId="1" xfId="0" applyFont="1" applyBorder="1" applyAlignment="1">
      <alignment horizontal="left" vertical="center"/>
    </xf>
    <xf numFmtId="0" fontId="84" fillId="0" borderId="1" xfId="0" applyFont="1" applyBorder="1" applyAlignment="1">
      <alignment horizontal="left" vertical="center"/>
    </xf>
    <xf numFmtId="0" fontId="59" fillId="10" borderId="13" xfId="0" applyFont="1" applyFill="1" applyBorder="1" applyAlignment="1" applyProtection="1">
      <alignment horizontal="center" vertical="center"/>
      <protection locked="0"/>
    </xf>
    <xf numFmtId="0" fontId="60" fillId="18" borderId="13" xfId="1" applyFont="1" applyFill="1" applyBorder="1" applyAlignment="1" applyProtection="1">
      <alignment vertical="center"/>
      <protection locked="0"/>
    </xf>
    <xf numFmtId="164" fontId="59" fillId="10" borderId="43" xfId="0" applyNumberFormat="1" applyFont="1" applyFill="1" applyBorder="1" applyAlignment="1" applyProtection="1">
      <alignment horizontal="right" vertical="center"/>
      <protection locked="0"/>
    </xf>
    <xf numFmtId="164" fontId="59" fillId="10" borderId="49" xfId="0" applyNumberFormat="1" applyFont="1" applyFill="1" applyBorder="1" applyAlignment="1" applyProtection="1">
      <alignment horizontal="right" vertical="center"/>
      <protection locked="0"/>
    </xf>
    <xf numFmtId="164" fontId="53" fillId="10" borderId="49" xfId="0" applyNumberFormat="1" applyFont="1" applyFill="1" applyBorder="1" applyAlignment="1" applyProtection="1">
      <alignment vertical="center"/>
      <protection locked="0"/>
    </xf>
    <xf numFmtId="0" fontId="69" fillId="0" borderId="13" xfId="0" applyFont="1" applyBorder="1" applyProtection="1">
      <protection locked="0"/>
    </xf>
    <xf numFmtId="0" fontId="135" fillId="0" borderId="13" xfId="0" applyFont="1" applyBorder="1"/>
    <xf numFmtId="0" fontId="0" fillId="0" borderId="0" xfId="0" applyAlignment="1">
      <alignment horizontal="right"/>
    </xf>
    <xf numFmtId="1" fontId="0" fillId="0" borderId="0" xfId="0" applyNumberFormat="1" applyAlignment="1">
      <alignment horizontal="right"/>
    </xf>
    <xf numFmtId="44" fontId="0" fillId="0" borderId="0" xfId="8" applyFont="1" applyAlignment="1">
      <alignment horizontal="right"/>
    </xf>
    <xf numFmtId="176" fontId="0" fillId="0" borderId="0" xfId="0" applyNumberFormat="1"/>
    <xf numFmtId="2" fontId="0" fillId="0" borderId="0" xfId="0" applyNumberFormat="1"/>
    <xf numFmtId="0" fontId="0" fillId="0" borderId="0" xfId="0" applyBorder="1"/>
    <xf numFmtId="177" fontId="0" fillId="0" borderId="0" xfId="2" applyNumberFormat="1" applyFont="1"/>
    <xf numFmtId="0" fontId="0" fillId="0" borderId="0" xfId="0" applyFill="1" applyBorder="1"/>
    <xf numFmtId="0" fontId="0" fillId="0" borderId="0" xfId="0" applyAlignment="1">
      <alignment wrapText="1"/>
    </xf>
    <xf numFmtId="0" fontId="0" fillId="0" borderId="0" xfId="0" applyFill="1"/>
    <xf numFmtId="176" fontId="0" fillId="0" borderId="0" xfId="0" quotePrefix="1" applyNumberFormat="1"/>
    <xf numFmtId="175" fontId="0" fillId="0" borderId="0" xfId="0" applyNumberFormat="1"/>
    <xf numFmtId="44" fontId="0" fillId="0" borderId="0" xfId="0" applyNumberFormat="1"/>
    <xf numFmtId="175" fontId="0" fillId="0" borderId="0" xfId="8" applyNumberFormat="1" applyFont="1"/>
    <xf numFmtId="44" fontId="1" fillId="0" borderId="0" xfId="0" applyNumberFormat="1" applyFont="1"/>
    <xf numFmtId="0" fontId="136" fillId="0" borderId="0" xfId="9" applyFill="1" applyAlignment="1" applyProtection="1"/>
    <xf numFmtId="0" fontId="137" fillId="0" borderId="0" xfId="0" applyFont="1" applyFill="1" applyBorder="1"/>
    <xf numFmtId="0" fontId="136" fillId="0" borderId="0" xfId="9" applyFill="1" applyBorder="1" applyAlignment="1" applyProtection="1">
      <alignment horizontal="left"/>
    </xf>
    <xf numFmtId="0" fontId="138" fillId="0" borderId="0" xfId="9" applyFont="1" applyFill="1" applyBorder="1" applyAlignment="1" applyProtection="1">
      <alignment horizontal="left"/>
    </xf>
    <xf numFmtId="0" fontId="139" fillId="0" borderId="0" xfId="9" applyFont="1" applyFill="1" applyBorder="1" applyAlignment="1" applyProtection="1">
      <alignment horizontal="left" indent="2"/>
    </xf>
    <xf numFmtId="0" fontId="138" fillId="0" borderId="0" xfId="9" applyFont="1" applyFill="1" applyBorder="1" applyAlignment="1" applyProtection="1">
      <alignment horizontal="left" indent="2"/>
    </xf>
    <xf numFmtId="0" fontId="136" fillId="0" borderId="0" xfId="9" applyFill="1" applyBorder="1" applyAlignment="1" applyProtection="1">
      <alignment horizontal="left" indent="4"/>
    </xf>
    <xf numFmtId="0" fontId="0" fillId="0" borderId="0" xfId="0" applyFill="1" applyAlignment="1">
      <alignment horizontal="left" indent="4"/>
    </xf>
    <xf numFmtId="0" fontId="0" fillId="0" borderId="0" xfId="0" applyFill="1" applyAlignment="1">
      <alignment horizontal="left" indent="2"/>
    </xf>
    <xf numFmtId="0" fontId="136" fillId="0" borderId="0" xfId="9" applyFill="1" applyBorder="1" applyAlignment="1" applyProtection="1">
      <alignment horizontal="left" indent="2"/>
    </xf>
    <xf numFmtId="0" fontId="136" fillId="0" borderId="0" xfId="9" applyFill="1" applyAlignment="1" applyProtection="1">
      <alignment horizontal="left" indent="2"/>
    </xf>
    <xf numFmtId="0" fontId="140" fillId="0" borderId="0" xfId="9" applyFont="1" applyFill="1" applyBorder="1" applyAlignment="1" applyProtection="1">
      <alignment horizontal="left" indent="2"/>
    </xf>
    <xf numFmtId="0" fontId="136" fillId="0" borderId="0" xfId="9" applyFill="1" applyAlignment="1" applyProtection="1">
      <alignment horizontal="left" indent="3"/>
    </xf>
    <xf numFmtId="0" fontId="136" fillId="0" borderId="0" xfId="9" applyFill="1" applyAlignment="1" applyProtection="1">
      <alignment horizontal="left" indent="4"/>
    </xf>
    <xf numFmtId="0" fontId="136" fillId="0" borderId="0" xfId="9" applyFill="1" applyBorder="1" applyAlignment="1" applyProtection="1">
      <alignment horizontal="left" indent="3"/>
    </xf>
    <xf numFmtId="178" fontId="0" fillId="0" borderId="0" xfId="0" applyNumberFormat="1"/>
    <xf numFmtId="166" fontId="0" fillId="0" borderId="0" xfId="0" applyNumberFormat="1"/>
    <xf numFmtId="0" fontId="64" fillId="21" borderId="13" xfId="0" applyFont="1" applyFill="1" applyBorder="1" applyAlignment="1">
      <alignment horizontal="center"/>
    </xf>
    <xf numFmtId="0" fontId="141" fillId="0" borderId="13" xfId="0" applyFont="1" applyFill="1" applyBorder="1" applyAlignment="1">
      <alignment horizontal="left" vertical="top" wrapText="1"/>
    </xf>
    <xf numFmtId="43" fontId="0" fillId="0" borderId="0" xfId="2" applyNumberFormat="1" applyFont="1"/>
    <xf numFmtId="1" fontId="142" fillId="20" borderId="0" xfId="6" applyNumberFormat="1" applyFont="1" applyBorder="1" applyAlignment="1">
      <alignment horizontal="center"/>
    </xf>
    <xf numFmtId="0" fontId="142" fillId="21" borderId="13" xfId="0" applyFont="1" applyFill="1" applyBorder="1" applyAlignment="1">
      <alignment horizontal="center"/>
    </xf>
    <xf numFmtId="0" fontId="58" fillId="0" borderId="13" xfId="0" applyFont="1" applyFill="1" applyBorder="1"/>
    <xf numFmtId="0" fontId="30" fillId="3" borderId="13" xfId="0" applyFont="1" applyFill="1" applyBorder="1"/>
    <xf numFmtId="0" fontId="144" fillId="0" borderId="13" xfId="0" applyFont="1" applyBorder="1" applyAlignment="1">
      <alignment horizontal="center"/>
    </xf>
    <xf numFmtId="5" fontId="144" fillId="0" borderId="13" xfId="2" applyNumberFormat="1" applyFont="1" applyFill="1" applyBorder="1" applyAlignment="1" applyProtection="1">
      <alignment vertical="center"/>
    </xf>
    <xf numFmtId="5" fontId="30" fillId="0" borderId="13" xfId="0" applyNumberFormat="1" applyFont="1" applyBorder="1" applyAlignment="1">
      <alignment horizontal="right"/>
    </xf>
    <xf numFmtId="0" fontId="64" fillId="18" borderId="13" xfId="0" applyFont="1" applyFill="1" applyBorder="1" applyAlignment="1" applyProtection="1">
      <alignment horizontal="center"/>
      <protection locked="0"/>
    </xf>
    <xf numFmtId="0" fontId="0" fillId="0" borderId="0" xfId="0" applyBorder="1" applyAlignment="1">
      <alignment horizontal="left" wrapText="1"/>
    </xf>
    <xf numFmtId="0" fontId="0" fillId="0" borderId="13" xfId="0" applyBorder="1" applyAlignment="1">
      <alignment horizontal="center"/>
    </xf>
    <xf numFmtId="44" fontId="64" fillId="18" borderId="13" xfId="8" applyFont="1" applyFill="1" applyBorder="1" applyAlignment="1" applyProtection="1">
      <alignment horizontal="center"/>
      <protection locked="0"/>
    </xf>
    <xf numFmtId="164" fontId="0" fillId="0" borderId="13" xfId="0" applyNumberFormat="1" applyBorder="1"/>
    <xf numFmtId="2" fontId="0" fillId="0" borderId="0" xfId="0" applyNumberFormat="1" applyFill="1" applyBorder="1"/>
    <xf numFmtId="0" fontId="0" fillId="0" borderId="0" xfId="0" applyBorder="1" applyAlignment="1">
      <alignment wrapText="1"/>
    </xf>
    <xf numFmtId="175" fontId="1" fillId="0" borderId="0" xfId="0" applyNumberFormat="1" applyFont="1"/>
    <xf numFmtId="165" fontId="64" fillId="0" borderId="13" xfId="0" applyNumberFormat="1" applyFont="1" applyBorder="1"/>
    <xf numFmtId="165" fontId="79" fillId="20" borderId="12" xfId="6" applyNumberFormat="1" applyFont="1" applyBorder="1" applyAlignment="1">
      <alignment horizontal="right"/>
    </xf>
    <xf numFmtId="165" fontId="78" fillId="20" borderId="12" xfId="6" applyNumberFormat="1" applyFont="1" applyBorder="1" applyAlignment="1">
      <alignment horizontal="right"/>
    </xf>
    <xf numFmtId="175" fontId="98" fillId="0" borderId="13" xfId="8" applyNumberFormat="1" applyFont="1" applyBorder="1"/>
    <xf numFmtId="175" fontId="106" fillId="0" borderId="13" xfId="8" applyNumberFormat="1" applyFont="1" applyBorder="1"/>
    <xf numFmtId="175" fontId="100" fillId="0" borderId="13" xfId="8" applyNumberFormat="1" applyFont="1" applyFill="1" applyBorder="1" applyAlignment="1" applyProtection="1">
      <alignment vertical="center"/>
    </xf>
    <xf numFmtId="164" fontId="32" fillId="0" borderId="13" xfId="0" applyNumberFormat="1" applyFont="1" applyBorder="1"/>
    <xf numFmtId="0" fontId="0" fillId="0" borderId="13" xfId="0" applyBorder="1"/>
    <xf numFmtId="167" fontId="17" fillId="0" borderId="13" xfId="0" applyNumberFormat="1" applyFont="1" applyBorder="1"/>
    <xf numFmtId="0" fontId="3" fillId="0" borderId="13" xfId="0" applyFont="1" applyBorder="1"/>
    <xf numFmtId="0" fontId="53" fillId="0" borderId="13" xfId="0" applyFont="1" applyBorder="1"/>
    <xf numFmtId="0" fontId="59" fillId="9" borderId="13" xfId="0" applyFont="1" applyFill="1" applyBorder="1" applyAlignment="1">
      <alignment vertical="center"/>
    </xf>
    <xf numFmtId="9" fontId="64" fillId="18" borderId="13" xfId="7" applyFont="1" applyFill="1" applyBorder="1" applyAlignment="1" applyProtection="1">
      <alignment horizontal="center"/>
      <protection locked="0"/>
    </xf>
    <xf numFmtId="9" fontId="64" fillId="21" borderId="13" xfId="7" applyFont="1" applyFill="1" applyBorder="1" applyAlignment="1">
      <alignment horizontal="center" vertical="center"/>
    </xf>
    <xf numFmtId="9" fontId="0" fillId="0" borderId="13" xfId="0" applyNumberFormat="1" applyFill="1" applyBorder="1" applyAlignment="1">
      <alignment horizontal="left" vertical="top"/>
    </xf>
    <xf numFmtId="44" fontId="0" fillId="0" borderId="13" xfId="8" applyFont="1" applyBorder="1"/>
    <xf numFmtId="1" fontId="56" fillId="10" borderId="46" xfId="0" quotePrefix="1" applyNumberFormat="1" applyFont="1" applyFill="1" applyBorder="1" applyAlignment="1" applyProtection="1">
      <alignment horizontal="center" vertical="center"/>
      <protection locked="0"/>
    </xf>
    <xf numFmtId="1" fontId="56" fillId="10" borderId="45" xfId="0" quotePrefix="1" applyNumberFormat="1" applyFont="1" applyFill="1" applyBorder="1" applyAlignment="1" applyProtection="1">
      <alignment horizontal="center" vertical="center"/>
      <protection locked="0"/>
    </xf>
    <xf numFmtId="176" fontId="81" fillId="20" borderId="24" xfId="6" applyNumberFormat="1" applyFont="1" applyBorder="1" applyAlignment="1">
      <alignment horizontal="right"/>
    </xf>
    <xf numFmtId="176" fontId="81" fillId="20" borderId="0" xfId="6" applyNumberFormat="1" applyFont="1" applyBorder="1" applyAlignment="1">
      <alignment horizontal="right"/>
    </xf>
    <xf numFmtId="167" fontId="145" fillId="0" borderId="13" xfId="0" applyNumberFormat="1" applyFont="1" applyBorder="1" applyAlignment="1">
      <alignment horizontal="center"/>
    </xf>
    <xf numFmtId="0" fontId="146" fillId="0" borderId="13" xfId="0" applyFont="1" applyFill="1" applyBorder="1" applyAlignment="1">
      <alignment vertical="center"/>
    </xf>
    <xf numFmtId="171" fontId="147" fillId="0" borderId="13" xfId="0" applyNumberFormat="1" applyFont="1" applyFill="1" applyBorder="1" applyAlignment="1">
      <alignment vertical="center"/>
    </xf>
    <xf numFmtId="0" fontId="148" fillId="0" borderId="13" xfId="0" applyFont="1" applyBorder="1"/>
    <xf numFmtId="9" fontId="0" fillId="0" borderId="26" xfId="7" applyFont="1" applyBorder="1"/>
    <xf numFmtId="9" fontId="0" fillId="0" borderId="13" xfId="0" applyNumberFormat="1" applyBorder="1"/>
    <xf numFmtId="0" fontId="38" fillId="15" borderId="3" xfId="0" applyFont="1" applyFill="1" applyBorder="1" applyAlignment="1">
      <alignment horizontal="left" vertical="center"/>
    </xf>
    <xf numFmtId="167" fontId="75" fillId="0" borderId="0" xfId="0" applyNumberFormat="1" applyFont="1" applyFill="1" applyBorder="1" applyAlignment="1">
      <alignment horizontal="left" vertical="center"/>
    </xf>
    <xf numFmtId="0" fontId="34" fillId="15" borderId="68" xfId="0" applyFont="1" applyFill="1" applyBorder="1" applyAlignment="1">
      <alignment vertical="center"/>
    </xf>
    <xf numFmtId="0" fontId="34" fillId="15" borderId="69" xfId="0" applyFont="1" applyFill="1" applyBorder="1" applyAlignment="1">
      <alignment vertical="center"/>
    </xf>
    <xf numFmtId="170" fontId="49" fillId="6" borderId="3" xfId="7" applyNumberFormat="1" applyFont="1" applyFill="1" applyBorder="1" applyAlignment="1" applyProtection="1">
      <alignment horizontal="right" vertical="center"/>
    </xf>
    <xf numFmtId="0" fontId="148" fillId="0" borderId="12" xfId="0" applyFont="1" applyBorder="1"/>
    <xf numFmtId="0" fontId="148" fillId="0" borderId="15" xfId="0" applyFont="1" applyBorder="1"/>
    <xf numFmtId="0" fontId="151" fillId="4" borderId="0" xfId="0" applyFont="1" applyFill="1" applyBorder="1" applyAlignment="1">
      <alignment horizontal="center" vertical="center" wrapText="1"/>
    </xf>
    <xf numFmtId="0" fontId="148" fillId="0" borderId="0" xfId="0" applyFont="1" applyBorder="1"/>
    <xf numFmtId="0" fontId="148" fillId="0" borderId="0" xfId="0" applyFont="1" applyBorder="1" applyAlignment="1">
      <alignment horizontal="center"/>
    </xf>
    <xf numFmtId="0" fontId="149" fillId="0" borderId="0" xfId="0" applyFont="1" applyBorder="1" applyAlignment="1">
      <alignment vertical="center"/>
    </xf>
    <xf numFmtId="0" fontId="150" fillId="0" borderId="0" xfId="0" applyFont="1" applyFill="1" applyBorder="1" applyAlignment="1">
      <alignment vertical="center" wrapText="1"/>
    </xf>
    <xf numFmtId="0" fontId="154" fillId="15" borderId="13" xfId="0" applyFont="1" applyFill="1" applyBorder="1"/>
    <xf numFmtId="2" fontId="82" fillId="0" borderId="12" xfId="0" applyNumberFormat="1" applyFont="1" applyFill="1" applyBorder="1" applyAlignment="1">
      <alignment horizontal="right"/>
    </xf>
    <xf numFmtId="0" fontId="55" fillId="11" borderId="28" xfId="0" applyFont="1" applyFill="1" applyBorder="1" applyAlignment="1">
      <alignment horizontal="center" vertical="center"/>
    </xf>
    <xf numFmtId="0" fontId="63" fillId="0" borderId="12" xfId="0" quotePrefix="1" applyFont="1" applyBorder="1" applyAlignment="1" applyProtection="1">
      <alignment horizontal="center"/>
      <protection locked="0"/>
    </xf>
    <xf numFmtId="176" fontId="121" fillId="20" borderId="24" xfId="6" applyNumberFormat="1" applyFont="1" applyBorder="1" applyAlignment="1" applyProtection="1">
      <alignment horizontal="center"/>
    </xf>
    <xf numFmtId="176" fontId="120" fillId="20" borderId="15" xfId="6" applyNumberFormat="1" applyFont="1" applyBorder="1" applyAlignment="1" applyProtection="1">
      <alignment horizontal="center"/>
    </xf>
    <xf numFmtId="176" fontId="132" fillId="20" borderId="15" xfId="6" applyNumberFormat="1" applyFont="1" applyBorder="1" applyAlignment="1" applyProtection="1">
      <alignment horizontal="center"/>
    </xf>
    <xf numFmtId="176" fontId="121" fillId="20" borderId="14" xfId="6" applyNumberFormat="1" applyFont="1" applyBorder="1" applyAlignment="1" applyProtection="1">
      <alignment horizontal="center"/>
    </xf>
    <xf numFmtId="176" fontId="120" fillId="20" borderId="13" xfId="6" applyNumberFormat="1" applyFont="1" applyBorder="1" applyAlignment="1" applyProtection="1">
      <alignment horizontal="center"/>
    </xf>
    <xf numFmtId="176" fontId="132" fillId="20" borderId="13" xfId="6" applyNumberFormat="1" applyFont="1" applyBorder="1" applyAlignment="1" applyProtection="1">
      <alignment horizontal="center"/>
    </xf>
    <xf numFmtId="176" fontId="121" fillId="20" borderId="48" xfId="6" applyNumberFormat="1" applyFont="1" applyBorder="1" applyAlignment="1" applyProtection="1">
      <alignment horizontal="center"/>
    </xf>
    <xf numFmtId="176" fontId="120" fillId="20" borderId="22" xfId="6" applyNumberFormat="1" applyFont="1" applyBorder="1" applyAlignment="1" applyProtection="1">
      <alignment horizontal="center"/>
    </xf>
    <xf numFmtId="176" fontId="132" fillId="20" borderId="22" xfId="6" applyNumberFormat="1" applyFont="1" applyBorder="1" applyAlignment="1" applyProtection="1">
      <alignment horizontal="center"/>
    </xf>
    <xf numFmtId="2" fontId="132" fillId="18" borderId="15" xfId="6" applyNumberFormat="1" applyFont="1" applyFill="1" applyBorder="1" applyAlignment="1" applyProtection="1">
      <alignment horizontal="center"/>
      <protection locked="0"/>
    </xf>
    <xf numFmtId="2" fontId="132" fillId="18" borderId="13" xfId="6" applyNumberFormat="1" applyFont="1" applyFill="1" applyBorder="1" applyAlignment="1" applyProtection="1">
      <alignment horizontal="center"/>
      <protection locked="0"/>
    </xf>
    <xf numFmtId="2" fontId="132" fillId="18" borderId="22" xfId="6" applyNumberFormat="1" applyFont="1" applyFill="1" applyBorder="1" applyAlignment="1" applyProtection="1">
      <alignment horizontal="center"/>
      <protection locked="0"/>
    </xf>
    <xf numFmtId="2" fontId="120" fillId="18" borderId="22" xfId="6" applyNumberFormat="1" applyFont="1" applyFill="1" applyBorder="1" applyAlignment="1" applyProtection="1">
      <alignment horizontal="center"/>
      <protection locked="0"/>
    </xf>
    <xf numFmtId="0" fontId="17" fillId="6" borderId="13" xfId="0" applyFont="1" applyFill="1" applyBorder="1"/>
    <xf numFmtId="0" fontId="53" fillId="6" borderId="39" xfId="0" applyFont="1" applyFill="1" applyBorder="1" applyAlignment="1">
      <alignment vertical="center" wrapText="1"/>
    </xf>
    <xf numFmtId="0" fontId="53" fillId="6" borderId="25" xfId="0" applyFont="1" applyFill="1" applyBorder="1" applyAlignment="1">
      <alignment vertical="center" wrapText="1"/>
    </xf>
    <xf numFmtId="0" fontId="53" fillId="6" borderId="40" xfId="0" applyFont="1" applyFill="1" applyBorder="1" applyAlignment="1">
      <alignment vertical="center" wrapText="1"/>
    </xf>
    <xf numFmtId="0" fontId="53" fillId="6" borderId="24" xfId="0" applyFont="1" applyFill="1" applyBorder="1" applyAlignment="1">
      <alignment vertical="center" wrapText="1"/>
    </xf>
    <xf numFmtId="0" fontId="54" fillId="2" borderId="13" xfId="0" applyFont="1" applyFill="1" applyBorder="1" applyAlignment="1">
      <alignment wrapText="1"/>
    </xf>
    <xf numFmtId="0" fontId="53" fillId="0" borderId="13" xfId="0" applyFont="1" applyBorder="1" applyProtection="1">
      <protection locked="0"/>
    </xf>
    <xf numFmtId="0" fontId="53" fillId="0" borderId="13" xfId="0" applyFont="1" applyBorder="1" applyAlignment="1" applyProtection="1">
      <alignment horizontal="center"/>
      <protection locked="0"/>
    </xf>
    <xf numFmtId="43" fontId="0" fillId="0" borderId="13" xfId="0" applyNumberFormat="1" applyBorder="1"/>
    <xf numFmtId="180" fontId="6" fillId="0" borderId="13" xfId="7" applyNumberFormat="1" applyFont="1" applyBorder="1" applyAlignment="1">
      <alignment horizontal="center"/>
    </xf>
    <xf numFmtId="179" fontId="0" fillId="0" borderId="13" xfId="0" applyNumberFormat="1" applyBorder="1"/>
    <xf numFmtId="165" fontId="82" fillId="16" borderId="33" xfId="0" applyNumberFormat="1" applyFont="1" applyFill="1" applyBorder="1" applyAlignment="1">
      <alignment horizontal="right"/>
    </xf>
    <xf numFmtId="176" fontId="113" fillId="0" borderId="41" xfId="0" applyNumberFormat="1" applyFont="1" applyBorder="1" applyProtection="1">
      <protection locked="0"/>
    </xf>
    <xf numFmtId="2" fontId="120" fillId="20" borderId="0" xfId="6" applyNumberFormat="1" applyFont="1" applyBorder="1" applyAlignment="1" applyProtection="1">
      <alignment horizontal="right"/>
    </xf>
    <xf numFmtId="2" fontId="121" fillId="20" borderId="14" xfId="6" applyNumberFormat="1" applyFont="1" applyBorder="1" applyAlignment="1" applyProtection="1">
      <alignment horizontal="right"/>
    </xf>
    <xf numFmtId="0" fontId="27" fillId="0" borderId="26" xfId="0" applyFont="1" applyBorder="1"/>
    <xf numFmtId="0" fontId="27" fillId="0" borderId="14" xfId="0" applyFont="1" applyBorder="1"/>
    <xf numFmtId="0" fontId="55" fillId="0" borderId="0" xfId="0" applyFont="1" applyFill="1" applyBorder="1" applyAlignment="1">
      <alignment wrapText="1"/>
    </xf>
    <xf numFmtId="177" fontId="64" fillId="0" borderId="0" xfId="2" applyNumberFormat="1" applyFont="1" applyFill="1" applyBorder="1" applyAlignment="1"/>
    <xf numFmtId="164" fontId="64" fillId="0" borderId="0" xfId="0" applyNumberFormat="1" applyFont="1" applyFill="1" applyBorder="1" applyAlignment="1">
      <alignment horizontal="center"/>
    </xf>
    <xf numFmtId="176" fontId="81" fillId="0" borderId="0" xfId="6" applyNumberFormat="1" applyFont="1" applyFill="1" applyBorder="1" applyAlignment="1">
      <alignment horizontal="right"/>
    </xf>
    <xf numFmtId="164" fontId="59" fillId="0" borderId="0" xfId="0" applyNumberFormat="1" applyFont="1" applyFill="1" applyBorder="1" applyAlignment="1">
      <alignment horizontal="right"/>
    </xf>
    <xf numFmtId="164" fontId="79" fillId="0" borderId="0" xfId="6" applyNumberFormat="1" applyFont="1" applyFill="1" applyBorder="1" applyAlignment="1">
      <alignment horizontal="right"/>
    </xf>
    <xf numFmtId="177" fontId="64" fillId="0" borderId="0" xfId="2" applyNumberFormat="1" applyFont="1" applyFill="1" applyBorder="1" applyAlignment="1">
      <alignment horizontal="right"/>
    </xf>
    <xf numFmtId="0" fontId="9" fillId="0" borderId="13" xfId="0" applyFont="1" applyFill="1" applyBorder="1" applyAlignment="1">
      <alignment horizontal="right" vertical="top" wrapText="1"/>
    </xf>
    <xf numFmtId="0" fontId="68" fillId="22" borderId="0" xfId="4" applyFont="1" applyFill="1"/>
    <xf numFmtId="0" fontId="108" fillId="22" borderId="0" xfId="4" applyFont="1" applyFill="1"/>
    <xf numFmtId="0" fontId="109" fillId="22" borderId="0" xfId="4" applyFont="1" applyFill="1"/>
    <xf numFmtId="0" fontId="108" fillId="22" borderId="0" xfId="0" applyFont="1" applyFill="1" applyBorder="1"/>
    <xf numFmtId="0" fontId="3" fillId="22" borderId="0" xfId="0" applyFont="1" applyFill="1" applyBorder="1"/>
    <xf numFmtId="167" fontId="68" fillId="22" borderId="0" xfId="0" applyNumberFormat="1" applyFont="1" applyFill="1" applyBorder="1"/>
    <xf numFmtId="167" fontId="3" fillId="22" borderId="0" xfId="0" applyNumberFormat="1" applyFont="1" applyFill="1" applyBorder="1"/>
    <xf numFmtId="0" fontId="153" fillId="22" borderId="0" xfId="0" applyFont="1" applyFill="1" applyBorder="1"/>
    <xf numFmtId="167" fontId="36" fillId="22" borderId="0" xfId="0" applyNumberFormat="1" applyFont="1" applyFill="1" applyBorder="1"/>
    <xf numFmtId="167" fontId="3" fillId="22" borderId="0" xfId="0" applyNumberFormat="1" applyFont="1" applyFill="1" applyBorder="1" applyAlignment="1">
      <alignment vertical="center"/>
    </xf>
    <xf numFmtId="0" fontId="20" fillId="22" borderId="0" xfId="0" applyFont="1" applyFill="1" applyBorder="1" applyAlignment="1">
      <alignment horizontal="left" vertical="center"/>
    </xf>
    <xf numFmtId="167" fontId="71" fillId="23" borderId="0" xfId="0" applyNumberFormat="1" applyFont="1" applyFill="1" applyBorder="1" applyAlignment="1">
      <alignment horizontal="left" vertical="center"/>
    </xf>
    <xf numFmtId="167" fontId="71" fillId="23" borderId="8" xfId="0" applyNumberFormat="1" applyFont="1" applyFill="1" applyBorder="1" applyAlignment="1">
      <alignment horizontal="left" vertical="center"/>
    </xf>
    <xf numFmtId="167" fontId="17" fillId="23" borderId="0" xfId="0" applyNumberFormat="1" applyFont="1" applyFill="1" applyBorder="1" applyAlignment="1">
      <alignment horizontal="left" vertical="center"/>
    </xf>
    <xf numFmtId="0" fontId="37" fillId="23" borderId="0" xfId="0" applyFont="1" applyFill="1" applyBorder="1" applyAlignment="1">
      <alignment horizontal="left" vertical="center"/>
    </xf>
    <xf numFmtId="0" fontId="21" fillId="23" borderId="0" xfId="0" applyFont="1" applyFill="1" applyBorder="1" applyAlignment="1">
      <alignment vertical="center"/>
    </xf>
    <xf numFmtId="167" fontId="15" fillId="22" borderId="0" xfId="0" applyNumberFormat="1" applyFont="1" applyFill="1" applyBorder="1" applyAlignment="1">
      <alignment vertical="center"/>
    </xf>
    <xf numFmtId="167" fontId="17" fillId="22" borderId="0" xfId="0" applyNumberFormat="1" applyFont="1" applyFill="1" applyBorder="1"/>
    <xf numFmtId="176" fontId="79" fillId="20" borderId="13" xfId="6" applyNumberFormat="1" applyFont="1" applyBorder="1" applyAlignment="1">
      <alignment horizontal="right"/>
    </xf>
    <xf numFmtId="176" fontId="79" fillId="20" borderId="12" xfId="6" applyNumberFormat="1" applyFont="1" applyBorder="1" applyAlignment="1">
      <alignment horizontal="right"/>
    </xf>
    <xf numFmtId="176" fontId="78" fillId="20" borderId="17" xfId="6" applyNumberFormat="1" applyFont="1" applyBorder="1" applyAlignment="1">
      <alignment horizontal="right"/>
    </xf>
    <xf numFmtId="181" fontId="78" fillId="20" borderId="13" xfId="6" applyNumberFormat="1" applyFont="1" applyBorder="1" applyAlignment="1">
      <alignment horizontal="right"/>
    </xf>
    <xf numFmtId="176" fontId="59" fillId="16" borderId="12" xfId="0" applyNumberFormat="1" applyFont="1" applyFill="1" applyBorder="1" applyAlignment="1">
      <alignment horizontal="right"/>
    </xf>
    <xf numFmtId="176" fontId="79" fillId="20" borderId="0" xfId="6" applyNumberFormat="1" applyFont="1" applyBorder="1" applyAlignment="1">
      <alignment horizontal="right"/>
    </xf>
    <xf numFmtId="176" fontId="81" fillId="20" borderId="14" xfId="6" applyNumberFormat="1" applyFont="1" applyBorder="1" applyAlignment="1">
      <alignment horizontal="right"/>
    </xf>
    <xf numFmtId="176" fontId="78" fillId="20" borderId="37" xfId="2" applyNumberFormat="1" applyFont="1" applyFill="1" applyBorder="1" applyAlignment="1">
      <alignment horizontal="right"/>
    </xf>
    <xf numFmtId="176" fontId="59" fillId="16" borderId="13" xfId="0" applyNumberFormat="1" applyFont="1" applyFill="1" applyBorder="1" applyAlignment="1">
      <alignment horizontal="right"/>
    </xf>
    <xf numFmtId="176" fontId="79" fillId="20" borderId="14" xfId="6" applyNumberFormat="1" applyFont="1" applyBorder="1" applyAlignment="1">
      <alignment horizontal="right"/>
    </xf>
    <xf numFmtId="176" fontId="93" fillId="16" borderId="13" xfId="0" applyNumberFormat="1" applyFont="1" applyFill="1" applyBorder="1" applyAlignment="1">
      <alignment horizontal="right"/>
    </xf>
    <xf numFmtId="176" fontId="96" fillId="20" borderId="14" xfId="6" applyNumberFormat="1" applyFont="1" applyBorder="1" applyAlignment="1">
      <alignment horizontal="right"/>
    </xf>
    <xf numFmtId="176" fontId="99" fillId="20" borderId="14" xfId="6" applyNumberFormat="1" applyFont="1" applyBorder="1" applyAlignment="1">
      <alignment horizontal="right"/>
    </xf>
    <xf numFmtId="176" fontId="59" fillId="10" borderId="1" xfId="0" applyNumberFormat="1" applyFont="1" applyFill="1" applyBorder="1" applyAlignment="1">
      <alignment horizontal="center" vertical="center"/>
    </xf>
    <xf numFmtId="176" fontId="64" fillId="21" borderId="1" xfId="8" applyNumberFormat="1" applyFont="1" applyFill="1" applyBorder="1" applyAlignment="1">
      <alignment horizontal="center" vertical="center"/>
    </xf>
    <xf numFmtId="176" fontId="85" fillId="20" borderId="1" xfId="6" applyNumberFormat="1" applyFont="1" applyBorder="1" applyAlignment="1">
      <alignment horizontal="center"/>
    </xf>
    <xf numFmtId="167" fontId="110" fillId="23" borderId="8" xfId="0" applyNumberFormat="1" applyFont="1" applyFill="1" applyBorder="1" applyAlignment="1">
      <alignment vertical="center"/>
    </xf>
    <xf numFmtId="167" fontId="112" fillId="23" borderId="0" xfId="0" applyNumberFormat="1" applyFont="1" applyFill="1" applyBorder="1" applyAlignment="1">
      <alignment horizontal="left" vertical="center"/>
    </xf>
    <xf numFmtId="167" fontId="112" fillId="23" borderId="8" xfId="0" applyNumberFormat="1" applyFont="1" applyFill="1" applyBorder="1" applyAlignment="1">
      <alignment horizontal="left" vertical="center"/>
    </xf>
    <xf numFmtId="167" fontId="111" fillId="23" borderId="0" xfId="0" applyNumberFormat="1" applyFont="1" applyFill="1" applyBorder="1" applyAlignment="1">
      <alignment vertical="center"/>
    </xf>
    <xf numFmtId="167" fontId="111" fillId="23" borderId="8" xfId="0" applyNumberFormat="1" applyFont="1" applyFill="1" applyBorder="1" applyAlignment="1">
      <alignment vertical="center"/>
    </xf>
    <xf numFmtId="0" fontId="110" fillId="23" borderId="0" xfId="0" applyFont="1" applyFill="1" applyBorder="1" applyAlignment="1">
      <alignment horizontal="left" vertical="center"/>
    </xf>
    <xf numFmtId="0" fontId="110" fillId="23" borderId="8" xfId="0" applyFont="1" applyFill="1" applyBorder="1" applyAlignment="1">
      <alignment horizontal="left" vertical="center"/>
    </xf>
    <xf numFmtId="167" fontId="110" fillId="23" borderId="8" xfId="0" applyNumberFormat="1" applyFont="1" applyFill="1" applyBorder="1"/>
    <xf numFmtId="167" fontId="15" fillId="23" borderId="0" xfId="0" applyNumberFormat="1" applyFont="1" applyFill="1" applyBorder="1" applyAlignment="1">
      <alignment vertical="center"/>
    </xf>
    <xf numFmtId="167" fontId="110" fillId="23" borderId="8" xfId="0" quotePrefix="1" applyNumberFormat="1" applyFont="1" applyFill="1" applyBorder="1" applyAlignment="1">
      <alignment vertical="center"/>
    </xf>
    <xf numFmtId="0" fontId="110" fillId="23" borderId="8" xfId="0" applyFont="1" applyFill="1" applyBorder="1" applyAlignment="1">
      <alignment vertical="center"/>
    </xf>
    <xf numFmtId="0" fontId="112" fillId="23" borderId="8" xfId="0" applyFont="1" applyFill="1" applyBorder="1" applyAlignment="1">
      <alignment vertical="center"/>
    </xf>
    <xf numFmtId="167" fontId="110" fillId="23" borderId="0" xfId="0" applyNumberFormat="1" applyFont="1" applyFill="1" applyBorder="1" applyAlignment="1"/>
    <xf numFmtId="167" fontId="110" fillId="23" borderId="8" xfId="0" applyNumberFormat="1" applyFont="1" applyFill="1" applyBorder="1" applyAlignment="1"/>
    <xf numFmtId="0" fontId="112" fillId="23" borderId="11" xfId="0" applyFont="1" applyFill="1" applyBorder="1" applyAlignment="1">
      <alignment vertical="center"/>
    </xf>
    <xf numFmtId="167" fontId="3" fillId="23" borderId="4" xfId="0" applyNumberFormat="1" applyFont="1" applyFill="1" applyBorder="1"/>
    <xf numFmtId="167" fontId="3" fillId="23" borderId="7" xfId="0" applyNumberFormat="1" applyFont="1" applyFill="1" applyBorder="1"/>
    <xf numFmtId="0" fontId="3" fillId="23" borderId="7" xfId="0" applyFont="1" applyFill="1" applyBorder="1"/>
    <xf numFmtId="0" fontId="3" fillId="23" borderId="9" xfId="0" applyFont="1" applyFill="1" applyBorder="1"/>
    <xf numFmtId="0" fontId="159" fillId="22" borderId="0" xfId="10" applyFill="1"/>
    <xf numFmtId="0" fontId="35" fillId="2" borderId="13" xfId="0" applyFont="1" applyFill="1" applyBorder="1" applyAlignment="1" applyProtection="1">
      <alignment horizontal="center" wrapText="1"/>
    </xf>
    <xf numFmtId="0" fontId="156" fillId="22" borderId="4" xfId="4" applyFont="1" applyFill="1" applyBorder="1" applyAlignment="1">
      <alignment horizontal="center" vertical="center" wrapText="1"/>
    </xf>
    <xf numFmtId="0" fontId="134" fillId="22" borderId="6" xfId="4" applyFont="1" applyFill="1" applyBorder="1" applyAlignment="1">
      <alignment horizontal="center" vertical="center" wrapText="1"/>
    </xf>
    <xf numFmtId="0" fontId="134" fillId="22" borderId="7" xfId="4" applyFont="1" applyFill="1" applyBorder="1" applyAlignment="1">
      <alignment horizontal="center" vertical="center" wrapText="1"/>
    </xf>
    <xf numFmtId="0" fontId="134" fillId="22" borderId="8" xfId="4" applyFont="1" applyFill="1" applyBorder="1" applyAlignment="1">
      <alignment horizontal="center" vertical="center" wrapText="1"/>
    </xf>
    <xf numFmtId="0" fontId="134" fillId="22" borderId="9" xfId="4" applyFont="1" applyFill="1" applyBorder="1" applyAlignment="1">
      <alignment horizontal="center" vertical="center" wrapText="1"/>
    </xf>
    <xf numFmtId="0" fontId="134" fillId="22" borderId="11" xfId="4" applyFont="1" applyFill="1" applyBorder="1" applyAlignment="1">
      <alignment horizontal="center" vertical="center" wrapText="1"/>
    </xf>
    <xf numFmtId="167" fontId="110" fillId="23" borderId="0" xfId="0" quotePrefix="1" applyNumberFormat="1" applyFont="1" applyFill="1" applyBorder="1" applyAlignment="1">
      <alignment horizontal="left" vertical="center"/>
    </xf>
    <xf numFmtId="0" fontId="110" fillId="23" borderId="0" xfId="0" applyFont="1" applyFill="1" applyBorder="1" applyAlignment="1">
      <alignment horizontal="left" vertical="center"/>
    </xf>
    <xf numFmtId="0" fontId="112" fillId="23" borderId="0" xfId="0" applyFont="1" applyFill="1" applyBorder="1" applyAlignment="1">
      <alignment horizontal="left" vertical="center"/>
    </xf>
    <xf numFmtId="167" fontId="110" fillId="23" borderId="0" xfId="0" applyNumberFormat="1" applyFont="1" applyFill="1" applyBorder="1" applyAlignment="1">
      <alignment horizontal="left" vertical="center"/>
    </xf>
    <xf numFmtId="167" fontId="111" fillId="23" borderId="0" xfId="0" applyNumberFormat="1" applyFont="1" applyFill="1" applyBorder="1" applyAlignment="1">
      <alignment horizontal="left" vertical="center"/>
    </xf>
    <xf numFmtId="0" fontId="152" fillId="22" borderId="0" xfId="0" applyFont="1" applyFill="1" applyBorder="1" applyAlignment="1">
      <alignment horizontal="left" wrapText="1"/>
    </xf>
    <xf numFmtId="167" fontId="68" fillId="23" borderId="5" xfId="0" applyNumberFormat="1" applyFont="1" applyFill="1" applyBorder="1" applyAlignment="1">
      <alignment horizontal="center" vertical="center"/>
    </xf>
    <xf numFmtId="167" fontId="68" fillId="23" borderId="6" xfId="0" applyNumberFormat="1" applyFont="1" applyFill="1" applyBorder="1" applyAlignment="1">
      <alignment horizontal="center" vertical="center"/>
    </xf>
    <xf numFmtId="167" fontId="112" fillId="23" borderId="0" xfId="0" applyNumberFormat="1" applyFont="1" applyFill="1" applyBorder="1" applyAlignment="1">
      <alignment horizontal="left" vertical="center"/>
    </xf>
    <xf numFmtId="167" fontId="112" fillId="23" borderId="8" xfId="0" applyNumberFormat="1" applyFont="1" applyFill="1" applyBorder="1" applyAlignment="1">
      <alignment horizontal="left" vertical="center"/>
    </xf>
    <xf numFmtId="167" fontId="17" fillId="22" borderId="0" xfId="0" applyNumberFormat="1" applyFont="1" applyFill="1" applyBorder="1"/>
    <xf numFmtId="167" fontId="110" fillId="23" borderId="0" xfId="0" applyNumberFormat="1" applyFont="1" applyFill="1" applyBorder="1" applyAlignment="1">
      <alignment horizontal="left"/>
    </xf>
    <xf numFmtId="0" fontId="112" fillId="23" borderId="10" xfId="0" applyFont="1" applyFill="1" applyBorder="1" applyAlignment="1">
      <alignment horizontal="left" vertical="center"/>
    </xf>
    <xf numFmtId="167" fontId="75" fillId="0" borderId="63" xfId="0" applyNumberFormat="1" applyFont="1" applyFill="1" applyBorder="1" applyAlignment="1">
      <alignment horizontal="left" vertical="center" wrapText="1"/>
    </xf>
    <xf numFmtId="167" fontId="75" fillId="0" borderId="64" xfId="0" applyNumberFormat="1" applyFont="1" applyFill="1" applyBorder="1" applyAlignment="1">
      <alignment horizontal="left" vertical="center" wrapText="1"/>
    </xf>
    <xf numFmtId="167" fontId="75" fillId="0" borderId="65" xfId="0" applyNumberFormat="1" applyFont="1" applyFill="1" applyBorder="1" applyAlignment="1">
      <alignment horizontal="left" vertical="center" wrapText="1"/>
    </xf>
    <xf numFmtId="167" fontId="55" fillId="13" borderId="57" xfId="0" applyNumberFormat="1" applyFont="1" applyFill="1" applyBorder="1" applyAlignment="1">
      <alignment horizontal="center"/>
    </xf>
    <xf numFmtId="167" fontId="55" fillId="13" borderId="58" xfId="0" applyNumberFormat="1" applyFont="1" applyFill="1" applyBorder="1" applyAlignment="1">
      <alignment horizontal="center"/>
    </xf>
    <xf numFmtId="167" fontId="55" fillId="13" borderId="59" xfId="0" applyNumberFormat="1" applyFont="1" applyFill="1" applyBorder="1" applyAlignment="1">
      <alignment horizontal="center"/>
    </xf>
    <xf numFmtId="167" fontId="55" fillId="13" borderId="60" xfId="0" applyNumberFormat="1" applyFont="1" applyFill="1" applyBorder="1" applyAlignment="1">
      <alignment horizontal="center"/>
    </xf>
    <xf numFmtId="167" fontId="55" fillId="13" borderId="61" xfId="0" applyNumberFormat="1" applyFont="1" applyFill="1" applyBorder="1" applyAlignment="1">
      <alignment horizontal="center"/>
    </xf>
    <xf numFmtId="167" fontId="55" fillId="13" borderId="62" xfId="0" applyNumberFormat="1" applyFont="1" applyFill="1" applyBorder="1" applyAlignment="1">
      <alignment horizontal="center"/>
    </xf>
    <xf numFmtId="0" fontId="56" fillId="9" borderId="52" xfId="0" applyFont="1" applyFill="1" applyBorder="1" applyAlignment="1">
      <alignment horizontal="center" vertical="center"/>
    </xf>
    <xf numFmtId="0" fontId="56" fillId="9" borderId="51" xfId="0" applyFont="1" applyFill="1" applyBorder="1" applyAlignment="1">
      <alignment horizontal="center" vertical="center"/>
    </xf>
    <xf numFmtId="0" fontId="55" fillId="9" borderId="52" xfId="0" applyFont="1" applyFill="1" applyBorder="1" applyAlignment="1">
      <alignment horizontal="center" vertical="center"/>
    </xf>
    <xf numFmtId="0" fontId="55" fillId="9" borderId="51" xfId="0" applyFont="1" applyFill="1" applyBorder="1" applyAlignment="1">
      <alignment horizontal="center" vertical="center"/>
    </xf>
    <xf numFmtId="0" fontId="55" fillId="9" borderId="55" xfId="0" applyFont="1" applyFill="1" applyBorder="1" applyAlignment="1">
      <alignment horizontal="center" vertical="center"/>
    </xf>
    <xf numFmtId="0" fontId="55" fillId="9" borderId="0" xfId="0" applyFont="1" applyFill="1" applyBorder="1" applyAlignment="1">
      <alignment horizontal="center" vertical="center"/>
    </xf>
    <xf numFmtId="0" fontId="55" fillId="9" borderId="56" xfId="0" applyFont="1" applyFill="1" applyBorder="1" applyAlignment="1">
      <alignment horizontal="center" vertical="center"/>
    </xf>
    <xf numFmtId="171" fontId="55" fillId="9" borderId="55" xfId="0" applyNumberFormat="1" applyFont="1" applyFill="1" applyBorder="1" applyAlignment="1">
      <alignment horizontal="center" vertical="center"/>
    </xf>
    <xf numFmtId="171" fontId="55" fillId="9" borderId="56" xfId="0" applyNumberFormat="1" applyFont="1" applyFill="1" applyBorder="1" applyAlignment="1">
      <alignment horizontal="center" vertical="center"/>
    </xf>
    <xf numFmtId="171" fontId="55" fillId="9" borderId="52" xfId="0" applyNumberFormat="1" applyFont="1" applyFill="1" applyBorder="1" applyAlignment="1">
      <alignment horizontal="center" vertical="center" wrapText="1"/>
    </xf>
    <xf numFmtId="171" fontId="55" fillId="9" borderId="51" xfId="0" applyNumberFormat="1" applyFont="1" applyFill="1" applyBorder="1" applyAlignment="1">
      <alignment horizontal="center" vertical="center" wrapText="1"/>
    </xf>
    <xf numFmtId="171" fontId="55" fillId="9" borderId="52" xfId="0" applyNumberFormat="1" applyFont="1" applyFill="1" applyBorder="1" applyAlignment="1">
      <alignment horizontal="center" vertical="center"/>
    </xf>
    <xf numFmtId="171" fontId="55" fillId="9" borderId="51" xfId="0" applyNumberFormat="1" applyFont="1" applyFill="1" applyBorder="1" applyAlignment="1">
      <alignment horizontal="center" vertical="center"/>
    </xf>
    <xf numFmtId="0" fontId="70" fillId="0" borderId="13" xfId="0" applyFont="1" applyFill="1" applyBorder="1" applyAlignment="1">
      <alignment horizontal="left" vertical="center"/>
    </xf>
    <xf numFmtId="0" fontId="68" fillId="6" borderId="0" xfId="0" applyFont="1" applyFill="1" applyBorder="1" applyAlignment="1">
      <alignment horizontal="left" vertical="center"/>
    </xf>
    <xf numFmtId="0" fontId="74" fillId="0" borderId="1" xfId="0" applyFont="1" applyBorder="1" applyAlignment="1">
      <alignment horizontal="center" vertical="center"/>
    </xf>
    <xf numFmtId="0" fontId="56" fillId="10" borderId="26" xfId="0" applyFont="1" applyFill="1" applyBorder="1" applyAlignment="1" applyProtection="1">
      <alignment horizontal="left" vertical="top"/>
      <protection locked="0"/>
    </xf>
    <xf numFmtId="0" fontId="56" fillId="10" borderId="14" xfId="0" applyFont="1" applyFill="1" applyBorder="1" applyAlignment="1" applyProtection="1">
      <alignment horizontal="left" vertical="top"/>
      <protection locked="0"/>
    </xf>
    <xf numFmtId="14" fontId="56" fillId="10" borderId="26" xfId="0" applyNumberFormat="1" applyFont="1" applyFill="1" applyBorder="1" applyAlignment="1" applyProtection="1">
      <alignment horizontal="left" vertical="top"/>
      <protection locked="0"/>
    </xf>
    <xf numFmtId="14" fontId="56" fillId="10" borderId="14" xfId="0" applyNumberFormat="1" applyFont="1" applyFill="1" applyBorder="1" applyAlignment="1" applyProtection="1">
      <alignment horizontal="left" vertical="top"/>
      <protection locked="0"/>
    </xf>
    <xf numFmtId="167" fontId="75" fillId="0" borderId="26" xfId="0" applyNumberFormat="1" applyFont="1" applyFill="1" applyBorder="1" applyAlignment="1">
      <alignment horizontal="center" vertical="center" wrapText="1"/>
    </xf>
    <xf numFmtId="167" fontId="75" fillId="0" borderId="32" xfId="0" applyNumberFormat="1" applyFont="1" applyFill="1" applyBorder="1" applyAlignment="1">
      <alignment horizontal="center" vertical="center" wrapText="1"/>
    </xf>
    <xf numFmtId="167" fontId="75" fillId="0" borderId="14" xfId="0" applyNumberFormat="1" applyFont="1" applyFill="1" applyBorder="1" applyAlignment="1">
      <alignment horizontal="center" vertical="center" wrapText="1"/>
    </xf>
    <xf numFmtId="0" fontId="53" fillId="6" borderId="33" xfId="0" applyFont="1" applyFill="1" applyBorder="1" applyAlignment="1">
      <alignment horizontal="center" vertical="center" wrapText="1"/>
    </xf>
    <xf numFmtId="0" fontId="53" fillId="6" borderId="39" xfId="0" applyFont="1" applyFill="1" applyBorder="1" applyAlignment="1">
      <alignment horizontal="center" vertical="center" wrapText="1"/>
    </xf>
    <xf numFmtId="0" fontId="53" fillId="6" borderId="31" xfId="0" applyFont="1" applyFill="1" applyBorder="1" applyAlignment="1">
      <alignment horizontal="center" vertical="center" wrapText="1"/>
    </xf>
    <xf numFmtId="0" fontId="53" fillId="6" borderId="40" xfId="0" applyFont="1" applyFill="1" applyBorder="1" applyAlignment="1">
      <alignment horizontal="center" vertical="center" wrapText="1"/>
    </xf>
    <xf numFmtId="0" fontId="122" fillId="0" borderId="13" xfId="0" applyFont="1" applyFill="1" applyBorder="1" applyAlignment="1" applyProtection="1">
      <alignment horizontal="left" vertical="center"/>
      <protection locked="0"/>
    </xf>
    <xf numFmtId="4" fontId="119" fillId="16" borderId="26" xfId="0" applyNumberFormat="1" applyFont="1" applyFill="1" applyBorder="1" applyAlignment="1" applyProtection="1">
      <alignment horizontal="left"/>
      <protection locked="0"/>
    </xf>
    <xf numFmtId="4" fontId="119" fillId="16" borderId="14" xfId="0" applyNumberFormat="1" applyFont="1" applyFill="1" applyBorder="1" applyAlignment="1" applyProtection="1">
      <alignment horizontal="left"/>
      <protection locked="0"/>
    </xf>
    <xf numFmtId="0" fontId="70" fillId="0" borderId="13" xfId="0" applyFont="1" applyFill="1" applyBorder="1" applyAlignment="1" applyProtection="1">
      <alignment horizontal="left" vertical="center"/>
      <protection locked="0"/>
    </xf>
    <xf numFmtId="167" fontId="75" fillId="0" borderId="33" xfId="0" applyNumberFormat="1" applyFont="1" applyFill="1" applyBorder="1" applyAlignment="1" applyProtection="1">
      <alignment horizontal="left" vertical="center" wrapText="1"/>
      <protection locked="0"/>
    </xf>
    <xf numFmtId="167" fontId="75" fillId="0" borderId="39" xfId="0" applyNumberFormat="1" applyFont="1" applyFill="1" applyBorder="1" applyAlignment="1" applyProtection="1">
      <alignment horizontal="left" vertical="center" wrapText="1"/>
      <protection locked="0"/>
    </xf>
    <xf numFmtId="167" fontId="75" fillId="0" borderId="25" xfId="0" applyNumberFormat="1" applyFont="1" applyFill="1" applyBorder="1" applyAlignment="1" applyProtection="1">
      <alignment horizontal="left" vertical="center" wrapText="1"/>
      <protection locked="0"/>
    </xf>
    <xf numFmtId="167" fontId="75" fillId="0" borderId="31" xfId="0" applyNumberFormat="1" applyFont="1" applyFill="1" applyBorder="1" applyAlignment="1" applyProtection="1">
      <alignment horizontal="left" vertical="center" wrapText="1"/>
      <protection locked="0"/>
    </xf>
    <xf numFmtId="167" fontId="75" fillId="0" borderId="40" xfId="0" applyNumberFormat="1" applyFont="1" applyFill="1" applyBorder="1" applyAlignment="1" applyProtection="1">
      <alignment horizontal="left" vertical="center" wrapText="1"/>
      <protection locked="0"/>
    </xf>
    <xf numFmtId="167" fontId="75" fillId="0" borderId="24" xfId="0" applyNumberFormat="1" applyFont="1" applyFill="1" applyBorder="1" applyAlignment="1" applyProtection="1">
      <alignment horizontal="left" vertical="center" wrapText="1"/>
      <protection locked="0"/>
    </xf>
    <xf numFmtId="0" fontId="13" fillId="0" borderId="17" xfId="0" applyFont="1" applyFill="1" applyBorder="1" applyAlignment="1" applyProtection="1">
      <alignment horizontal="center" vertical="center"/>
      <protection locked="0"/>
    </xf>
    <xf numFmtId="0" fontId="158" fillId="18" borderId="1" xfId="4" applyFont="1" applyFill="1" applyBorder="1" applyAlignment="1" applyProtection="1">
      <alignment horizontal="center" vertical="center" wrapText="1"/>
      <protection locked="0"/>
    </xf>
    <xf numFmtId="0" fontId="73" fillId="0" borderId="70" xfId="0" applyFont="1" applyBorder="1" applyAlignment="1" applyProtection="1">
      <alignment horizontal="left" wrapText="1"/>
      <protection locked="0"/>
    </xf>
    <xf numFmtId="0" fontId="73" fillId="0" borderId="71" xfId="0" applyFont="1" applyBorder="1" applyAlignment="1" applyProtection="1">
      <alignment horizontal="left" wrapText="1"/>
      <protection locked="0"/>
    </xf>
    <xf numFmtId="0" fontId="73" fillId="0" borderId="48" xfId="0" applyFont="1" applyBorder="1" applyAlignment="1" applyProtection="1">
      <alignment horizontal="left" wrapText="1"/>
      <protection locked="0"/>
    </xf>
    <xf numFmtId="0" fontId="38" fillId="15" borderId="3" xfId="0" applyFont="1" applyFill="1" applyBorder="1" applyAlignment="1">
      <alignment horizontal="left" vertical="center"/>
    </xf>
    <xf numFmtId="0" fontId="68" fillId="6" borderId="0" xfId="0" applyFont="1" applyFill="1" applyBorder="1" applyAlignment="1">
      <alignment horizontal="center" vertical="center"/>
    </xf>
    <xf numFmtId="0" fontId="52" fillId="6" borderId="0" xfId="0" applyFont="1" applyFill="1" applyBorder="1" applyAlignment="1">
      <alignment horizontal="center" vertical="center"/>
    </xf>
    <xf numFmtId="0" fontId="0" fillId="0" borderId="0" xfId="0" applyBorder="1" applyAlignment="1">
      <alignment horizontal="center" wrapText="1"/>
    </xf>
    <xf numFmtId="0" fontId="0" fillId="0" borderId="0" xfId="0" applyBorder="1" applyAlignment="1">
      <alignment horizontal="left" wrapText="1"/>
    </xf>
    <xf numFmtId="0" fontId="57" fillId="6" borderId="35" xfId="0" applyFont="1" applyFill="1" applyBorder="1" applyAlignment="1">
      <alignment horizontal="left"/>
    </xf>
    <xf numFmtId="0" fontId="57" fillId="6" borderId="36" xfId="0" applyFont="1" applyFill="1" applyBorder="1" applyAlignment="1">
      <alignment horizontal="left"/>
    </xf>
    <xf numFmtId="0" fontId="57" fillId="6" borderId="37" xfId="0" applyFont="1" applyFill="1" applyBorder="1" applyAlignment="1">
      <alignment horizontal="left"/>
    </xf>
    <xf numFmtId="0" fontId="57" fillId="6" borderId="26" xfId="0" applyFont="1" applyFill="1" applyBorder="1" applyAlignment="1">
      <alignment horizontal="left"/>
    </xf>
    <xf numFmtId="0" fontId="57" fillId="6" borderId="32" xfId="0" applyFont="1" applyFill="1" applyBorder="1" applyAlignment="1">
      <alignment horizontal="left"/>
    </xf>
    <xf numFmtId="0" fontId="57" fillId="6" borderId="14" xfId="0" applyFont="1" applyFill="1" applyBorder="1" applyAlignment="1">
      <alignment horizontal="left"/>
    </xf>
    <xf numFmtId="176" fontId="80" fillId="20" borderId="26" xfId="6" applyNumberFormat="1" applyFont="1" applyBorder="1" applyAlignment="1">
      <alignment horizontal="center"/>
    </xf>
    <xf numFmtId="176" fontId="80" fillId="20" borderId="32" xfId="6" applyNumberFormat="1" applyFont="1" applyBorder="1" applyAlignment="1">
      <alignment horizontal="center"/>
    </xf>
    <xf numFmtId="176" fontId="80" fillId="20" borderId="14" xfId="6" applyNumberFormat="1" applyFont="1" applyBorder="1" applyAlignment="1">
      <alignment horizontal="center"/>
    </xf>
    <xf numFmtId="0" fontId="57" fillId="2" borderId="26" xfId="0" applyFont="1" applyFill="1" applyBorder="1" applyAlignment="1">
      <alignment horizontal="center" wrapText="1"/>
    </xf>
    <xf numFmtId="0" fontId="57" fillId="2" borderId="32" xfId="0" applyFont="1" applyFill="1" applyBorder="1" applyAlignment="1">
      <alignment horizontal="center" wrapText="1"/>
    </xf>
    <xf numFmtId="0" fontId="57" fillId="2" borderId="14" xfId="0" applyFont="1" applyFill="1" applyBorder="1" applyAlignment="1">
      <alignment horizontal="center" wrapText="1"/>
    </xf>
    <xf numFmtId="0" fontId="27" fillId="0" borderId="33" xfId="0" applyFont="1" applyBorder="1" applyAlignment="1">
      <alignment horizontal="left" wrapText="1"/>
    </xf>
    <xf numFmtId="0" fontId="27" fillId="0" borderId="39" xfId="0" applyFont="1" applyBorder="1" applyAlignment="1">
      <alignment horizontal="left" wrapText="1"/>
    </xf>
    <xf numFmtId="0" fontId="27" fillId="0" borderId="25" xfId="0" applyFont="1" applyBorder="1" applyAlignment="1">
      <alignment horizontal="left" wrapText="1"/>
    </xf>
    <xf numFmtId="0" fontId="27" fillId="0" borderId="31" xfId="0" applyFont="1" applyBorder="1" applyAlignment="1">
      <alignment horizontal="left" wrapText="1"/>
    </xf>
    <xf numFmtId="0" fontId="27" fillId="0" borderId="40" xfId="0" applyFont="1" applyBorder="1" applyAlignment="1">
      <alignment horizontal="left" wrapText="1"/>
    </xf>
    <xf numFmtId="0" fontId="27" fillId="0" borderId="24" xfId="0" applyFont="1" applyBorder="1" applyAlignment="1">
      <alignment horizontal="left" wrapText="1"/>
    </xf>
    <xf numFmtId="0" fontId="9" fillId="0" borderId="14" xfId="0" applyFont="1" applyFill="1" applyBorder="1" applyAlignment="1">
      <alignment horizontal="left" vertical="top" wrapText="1"/>
    </xf>
    <xf numFmtId="0" fontId="9" fillId="0" borderId="13" xfId="0" applyFont="1" applyFill="1" applyBorder="1" applyAlignment="1">
      <alignment horizontal="left" vertical="top" wrapText="1"/>
    </xf>
    <xf numFmtId="0" fontId="27" fillId="0" borderId="66" xfId="0" applyFont="1" applyBorder="1" applyAlignment="1">
      <alignment horizontal="left" wrapText="1"/>
    </xf>
    <xf numFmtId="0" fontId="27" fillId="0" borderId="0" xfId="0" applyFont="1" applyBorder="1" applyAlignment="1">
      <alignment horizontal="left" wrapText="1"/>
    </xf>
    <xf numFmtId="0" fontId="27" fillId="0" borderId="67" xfId="0" applyFont="1" applyBorder="1" applyAlignment="1">
      <alignment horizontal="left" wrapText="1"/>
    </xf>
    <xf numFmtId="0" fontId="27" fillId="0" borderId="33" xfId="0" applyFont="1" applyBorder="1" applyAlignment="1">
      <alignment horizontal="left" vertical="top" wrapText="1"/>
    </xf>
    <xf numFmtId="0" fontId="27" fillId="0" borderId="39" xfId="0" applyFont="1" applyBorder="1" applyAlignment="1">
      <alignment horizontal="left" vertical="top" wrapText="1"/>
    </xf>
    <xf numFmtId="0" fontId="27" fillId="0" borderId="25" xfId="0" applyFont="1" applyBorder="1" applyAlignment="1">
      <alignment horizontal="left" vertical="top" wrapText="1"/>
    </xf>
    <xf numFmtId="0" fontId="27" fillId="0" borderId="66" xfId="0" applyFont="1" applyBorder="1" applyAlignment="1">
      <alignment horizontal="left" vertical="top" wrapText="1"/>
    </xf>
    <xf numFmtId="0" fontId="27" fillId="0" borderId="0" xfId="0" applyFont="1" applyBorder="1" applyAlignment="1">
      <alignment horizontal="left" vertical="top" wrapText="1"/>
    </xf>
    <xf numFmtId="0" fontId="27" fillId="0" borderId="67" xfId="0" applyFont="1" applyBorder="1" applyAlignment="1">
      <alignment horizontal="left" vertical="top" wrapText="1"/>
    </xf>
    <xf numFmtId="0" fontId="27" fillId="0" borderId="31" xfId="0" applyFont="1" applyBorder="1" applyAlignment="1">
      <alignment horizontal="left" vertical="top" wrapText="1"/>
    </xf>
    <xf numFmtId="0" fontId="27" fillId="0" borderId="40" xfId="0" applyFont="1" applyBorder="1" applyAlignment="1">
      <alignment horizontal="left" vertical="top" wrapText="1"/>
    </xf>
    <xf numFmtId="0" fontId="27" fillId="0" borderId="24" xfId="0" applyFont="1" applyBorder="1" applyAlignment="1">
      <alignment horizontal="left" vertical="top" wrapText="1"/>
    </xf>
    <xf numFmtId="0" fontId="16" fillId="5" borderId="15" xfId="0" applyFont="1" applyFill="1" applyBorder="1" applyAlignment="1">
      <alignment horizontal="center" vertical="top" wrapText="1"/>
    </xf>
    <xf numFmtId="0" fontId="16" fillId="5" borderId="13" xfId="0" applyFont="1" applyFill="1" applyBorder="1" applyAlignment="1">
      <alignment horizontal="center" vertical="top" wrapText="1"/>
    </xf>
    <xf numFmtId="0" fontId="22" fillId="0" borderId="13" xfId="0" applyFont="1" applyBorder="1" applyAlignment="1">
      <alignment horizontal="center"/>
    </xf>
    <xf numFmtId="0" fontId="29" fillId="0" borderId="13" xfId="0" applyFont="1" applyBorder="1" applyAlignment="1">
      <alignment horizontal="center"/>
    </xf>
    <xf numFmtId="0" fontId="28" fillId="0" borderId="24" xfId="0" applyFont="1" applyBorder="1" applyAlignment="1">
      <alignment vertical="center"/>
    </xf>
    <xf numFmtId="0" fontId="28" fillId="0" borderId="15" xfId="0" applyFont="1" applyBorder="1" applyAlignment="1">
      <alignment vertical="center"/>
    </xf>
    <xf numFmtId="0" fontId="101" fillId="9" borderId="1" xfId="0" applyFont="1" applyFill="1" applyBorder="1" applyAlignment="1">
      <alignment horizontal="center" vertical="center"/>
    </xf>
  </cellXfs>
  <cellStyles count="11">
    <cellStyle name="Bad" xfId="5" builtinId="27"/>
    <cellStyle name="Calculation" xfId="6" builtinId="22"/>
    <cellStyle name="Comma" xfId="2" builtinId="3"/>
    <cellStyle name="Currency" xfId="8" builtinId="4"/>
    <cellStyle name="Good" xfId="1" builtinId="26"/>
    <cellStyle name="Hyperlink" xfId="10" builtinId="8"/>
    <cellStyle name="Hyperlink 2" xfId="9" xr:uid="{00000000-0005-0000-0000-000006000000}"/>
    <cellStyle name="Normal" xfId="0" builtinId="0"/>
    <cellStyle name="Normal_Bc_model 2" xfId="4" xr:uid="{00000000-0005-0000-0000-000008000000}"/>
    <cellStyle name="Note" xfId="3" builtinId="10"/>
    <cellStyle name="Percent" xfId="7" builtinId="5"/>
  </cellStyles>
  <dxfs count="0"/>
  <tableStyles count="0" defaultTableStyle="TableStyleMedium2" defaultPivotStyle="PivotStyleLight16"/>
  <colors>
    <mruColors>
      <color rgb="FFCCFFCC"/>
      <color rgb="FFBBE4FF"/>
      <color rgb="FF00AD66"/>
      <color rgb="FFFFF45F"/>
      <color rgb="FF005BAA"/>
      <color rgb="FF009D85"/>
      <color rgb="FFFFFFCC"/>
      <color rgb="FF0000FF"/>
      <color rgb="FF47A5DC"/>
      <color rgb="FF1900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30-EC42-11CE-9E0D-00AA006002F3}" r:id="rId1"/>
</file>

<file path=xl/activeX/activeX2.xml><?xml version="1.0" encoding="utf-8"?>
<ax:ocx xmlns:ax="http://schemas.microsoft.com/office/2006/activeX" xmlns:r="http://schemas.openxmlformats.org/officeDocument/2006/relationships" ax:classid="{8BD21D30-EC42-11CE-9E0D-00AA006002F3}" r:id="rId1"/>
</file>

<file path=xl/activeX/activeX3.xml><?xml version="1.0" encoding="utf-8"?>
<ax:ocx xmlns:ax="http://schemas.microsoft.com/office/2006/activeX" xmlns:r="http://schemas.openxmlformats.org/officeDocument/2006/relationships" ax:classid="{8BD21D30-EC42-11CE-9E0D-00AA006002F3}"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baseline="0">
                <a:solidFill>
                  <a:schemeClr val="dk1">
                    <a:lumMod val="75000"/>
                    <a:lumOff val="25000"/>
                  </a:schemeClr>
                </a:solidFill>
                <a:latin typeface="+mn-lt"/>
                <a:ea typeface="+mn-ea"/>
                <a:cs typeface="+mn-cs"/>
              </a:defRPr>
            </a:pPr>
            <a:r>
              <a:rPr lang="en-US" b="0">
                <a:solidFill>
                  <a:sysClr val="windowText" lastClr="000000"/>
                </a:solidFill>
                <a:latin typeface="Gill Sans MT" panose="020B0502020104020203" pitchFamily="34" charset="0"/>
              </a:rPr>
              <a:t>Benefits Summary (Present Value, Dollars)</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1.38355103079091E-2"/>
                  <c:y val="-1.1257035647279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DD-4E92-92A1-570D1D3E3C12}"/>
                </c:ext>
              </c:extLst>
            </c:dLbl>
            <c:dLbl>
              <c:idx val="1"/>
              <c:layout>
                <c:manualLayout>
                  <c:x val="3.6856030721140867E-2"/>
                  <c:y val="-7.60173329144153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D-4E92-92A1-570D1D3E3C12}"/>
                </c:ext>
              </c:extLst>
            </c:dLbl>
            <c:dLbl>
              <c:idx val="2"/>
              <c:layout>
                <c:manualLayout>
                  <c:x val="2.5249060729659392E-2"/>
                  <c:y val="-0.11281621255874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D-4E92-92A1-570D1D3E3C12}"/>
                </c:ext>
              </c:extLst>
            </c:dLbl>
            <c:dLbl>
              <c:idx val="3"/>
              <c:layout>
                <c:manualLayout>
                  <c:x val="2.5953280925523223E-2"/>
                  <c:y val="-0.111787432671964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DD-4E92-92A1-570D1D3E3C12}"/>
                </c:ext>
              </c:extLst>
            </c:dLbl>
            <c:dLbl>
              <c:idx val="4"/>
              <c:layout>
                <c:manualLayout>
                  <c:x val="2.9118130747295506E-2"/>
                  <c:y val="-0.100226365889201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DD-4E92-92A1-570D1D3E3C12}"/>
                </c:ext>
              </c:extLst>
            </c:dLbl>
            <c:spPr>
              <a:noFill/>
              <a:ln>
                <a:noFill/>
              </a:ln>
              <a:effectLst>
                <a:outerShdw blurRad="50800" dir="5400000" algn="ctr" rotWithShape="0">
                  <a:srgbClr val="000000">
                    <a:alpha val="43137"/>
                  </a:srgb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'4) Results'!$I$9:$K$13</c:f>
              <c:strCache>
                <c:ptCount val="5"/>
                <c:pt idx="0">
                  <c:v>Safety</c:v>
                </c:pt>
                <c:pt idx="1">
                  <c:v>Travel Time</c:v>
                </c:pt>
                <c:pt idx="2">
                  <c:v>Reliability</c:v>
                </c:pt>
                <c:pt idx="3">
                  <c:v>Vehicle Operating Cost</c:v>
                </c:pt>
                <c:pt idx="4">
                  <c:v>Emissions</c:v>
                </c:pt>
              </c:strCache>
            </c:strRef>
          </c:cat>
          <c:val>
            <c:numRef>
              <c:f>'4) Results'!$L$9:$L$13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0DD-4E92-92A1-570D1D3E3C12}"/>
            </c:ext>
          </c:extLst>
        </c:ser>
        <c:dLbls>
          <c:dLblPos val="inEnd"/>
          <c:showLegendKey val="0"/>
          <c:showVal val="1"/>
          <c:showCatName val="0"/>
          <c:showSerName val="0"/>
          <c:showPercent val="0"/>
          <c:showBubbleSize val="0"/>
        </c:dLbls>
        <c:gapWidth val="65"/>
        <c:axId val="126215680"/>
        <c:axId val="126218624"/>
      </c:barChart>
      <c:catAx>
        <c:axId val="1262156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26218624"/>
        <c:crosses val="autoZero"/>
        <c:auto val="1"/>
        <c:lblAlgn val="ctr"/>
        <c:lblOffset val="100"/>
        <c:noMultiLvlLbl val="0"/>
      </c:catAx>
      <c:valAx>
        <c:axId val="126218624"/>
        <c:scaling>
          <c:orientation val="minMax"/>
        </c:scaling>
        <c:delete val="1"/>
        <c:axPos val="l"/>
        <c:majorGridlines>
          <c:spPr>
            <a:ln w="9525" cap="flat" cmpd="sng" algn="ctr">
              <a:noFill/>
              <a:round/>
            </a:ln>
            <a:effectLst/>
          </c:spPr>
        </c:majorGridlines>
        <c:numFmt formatCode="&quot;$&quot;#,##0;\-&quot;$&quot;#,##0" sourceLinked="1"/>
        <c:majorTickMark val="none"/>
        <c:minorTickMark val="none"/>
        <c:tickLblPos val="nextTo"/>
        <c:crossAx val="126215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600">
                <a:solidFill>
                  <a:sysClr val="windowText" lastClr="000000"/>
                </a:solidFill>
                <a:latin typeface="Gill Sans MT" panose="020B0502020104020203" pitchFamily="34" charset="0"/>
              </a:rPr>
              <a:t>Benefits vs. Costs (Present Value, Dollars</a:t>
            </a:r>
            <a:r>
              <a:rPr lang="en-US" sz="1600">
                <a:solidFill>
                  <a:sysClr val="windowText" lastClr="000000"/>
                </a:solidFill>
              </a:rPr>
              <a:t>)</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6">
                <a:lumMod val="75000"/>
              </a:schemeClr>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4-6CDF-45D7-8F18-21D61693D603}"/>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 Results'!$E$8:$E$9</c:f>
              <c:numCache>
                <c:formatCode>"$"#,##0;\-"$"#,##0</c:formatCode>
                <c:ptCount val="2"/>
                <c:pt idx="0">
                  <c:v>0</c:v>
                </c:pt>
                <c:pt idx="1">
                  <c:v>0</c:v>
                </c:pt>
              </c:numCache>
            </c:numRef>
          </c:val>
          <c:extLst>
            <c:ext xmlns:c16="http://schemas.microsoft.com/office/drawing/2014/chart" uri="{C3380CC4-5D6E-409C-BE32-E72D297353CC}">
              <c16:uniqueId val="{00000000-6CDF-45D7-8F18-21D61693D603}"/>
            </c:ext>
          </c:extLst>
        </c:ser>
        <c:dLbls>
          <c:showLegendKey val="0"/>
          <c:showVal val="0"/>
          <c:showCatName val="0"/>
          <c:showSerName val="0"/>
          <c:showPercent val="0"/>
          <c:showBubbleSize val="0"/>
        </c:dLbls>
        <c:gapWidth val="150"/>
        <c:axId val="126092800"/>
        <c:axId val="126094336"/>
      </c:barChart>
      <c:catAx>
        <c:axId val="126092800"/>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94336"/>
        <c:crosses val="autoZero"/>
        <c:auto val="1"/>
        <c:lblAlgn val="ctr"/>
        <c:lblOffset val="100"/>
        <c:noMultiLvlLbl val="0"/>
      </c:catAx>
      <c:valAx>
        <c:axId val="126094336"/>
        <c:scaling>
          <c:orientation val="minMax"/>
        </c:scaling>
        <c:delete val="0"/>
        <c:axPos val="l"/>
        <c:majorGridlines>
          <c:spPr>
            <a:ln w="9525" cap="flat" cmpd="sng" algn="ctr">
              <a:solidFill>
                <a:schemeClr val="bg1">
                  <a:lumMod val="85000"/>
                </a:schemeClr>
              </a:solidFill>
              <a:round/>
            </a:ln>
            <a:effectLst/>
          </c:spPr>
        </c:majorGridlines>
        <c:numFmt formatCode="&quot;$&quot;#,##0;\-&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26092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Freeways</c:v>
          </c:tx>
          <c:xVal>
            <c:numRef>
              <c:f>LinkCharacteristics!$N$5:$N$23</c:f>
              <c:numCache>
                <c:formatCode>General</c:formatCode>
                <c:ptCount val="19"/>
                <c:pt idx="0">
                  <c:v>0.2</c:v>
                </c:pt>
                <c:pt idx="1">
                  <c:v>0.3</c:v>
                </c:pt>
                <c:pt idx="2">
                  <c:v>0.5</c:v>
                </c:pt>
                <c:pt idx="3">
                  <c:v>0.7</c:v>
                </c:pt>
                <c:pt idx="4">
                  <c:v>0.8</c:v>
                </c:pt>
                <c:pt idx="5">
                  <c:v>0.9</c:v>
                </c:pt>
                <c:pt idx="6">
                  <c:v>1</c:v>
                </c:pt>
                <c:pt idx="7">
                  <c:v>1.1000000000000001</c:v>
                </c:pt>
                <c:pt idx="8">
                  <c:v>1.2</c:v>
                </c:pt>
                <c:pt idx="9">
                  <c:v>1.4</c:v>
                </c:pt>
                <c:pt idx="10">
                  <c:v>1.6</c:v>
                </c:pt>
                <c:pt idx="11">
                  <c:v>1.8</c:v>
                </c:pt>
                <c:pt idx="12">
                  <c:v>2</c:v>
                </c:pt>
                <c:pt idx="13">
                  <c:v>2.5</c:v>
                </c:pt>
                <c:pt idx="14">
                  <c:v>3</c:v>
                </c:pt>
                <c:pt idx="15">
                  <c:v>4</c:v>
                </c:pt>
                <c:pt idx="16">
                  <c:v>5</c:v>
                </c:pt>
                <c:pt idx="17">
                  <c:v>6</c:v>
                </c:pt>
                <c:pt idx="18">
                  <c:v>12</c:v>
                </c:pt>
              </c:numCache>
            </c:numRef>
          </c:xVal>
          <c:yVal>
            <c:numRef>
              <c:f>LinkCharacteristics!$R$5:$R$23</c:f>
              <c:numCache>
                <c:formatCode>General</c:formatCode>
                <c:ptCount val="19"/>
                <c:pt idx="0">
                  <c:v>69.998312663777185</c:v>
                </c:pt>
                <c:pt idx="1">
                  <c:v>69.981675030150456</c:v>
                </c:pt>
                <c:pt idx="2">
                  <c:v>69.631868332805496</c:v>
                </c:pt>
                <c:pt idx="3">
                  <c:v>67.419797411401731</c:v>
                </c:pt>
                <c:pt idx="4">
                  <c:v>64.578482971657436</c:v>
                </c:pt>
                <c:pt idx="5">
                  <c:v>59.938372726849288</c:v>
                </c:pt>
                <c:pt idx="6">
                  <c:v>53.353658536585364</c:v>
                </c:pt>
                <c:pt idx="7">
                  <c:v>45.260640325497619</c:v>
                </c:pt>
                <c:pt idx="8">
                  <c:v>36.611561175431625</c:v>
                </c:pt>
                <c:pt idx="9">
                  <c:v>21.482080568035119</c:v>
                </c:pt>
                <c:pt idx="10">
                  <c:v>11.755981166513788</c:v>
                </c:pt>
                <c:pt idx="11">
                  <c:v>6.4181574598521092</c:v>
                </c:pt>
                <c:pt idx="12">
                  <c:v>3.6059137907981853</c:v>
                </c:pt>
                <c:pt idx="13">
                  <c:v>1.0082345903990879</c:v>
                </c:pt>
                <c:pt idx="14">
                  <c:v>0.34823561593970048</c:v>
                </c:pt>
                <c:pt idx="15">
                  <c:v>6.4361331819315415E-2</c:v>
                </c:pt>
                <c:pt idx="16">
                  <c:v>1.7329872960520992E-2</c:v>
                </c:pt>
                <c:pt idx="17">
                  <c:v>5.9298382683482332E-3</c:v>
                </c:pt>
                <c:pt idx="18">
                  <c:v>1.004892377722772E-4</c:v>
                </c:pt>
              </c:numCache>
            </c:numRef>
          </c:yVal>
          <c:smooth val="1"/>
          <c:extLst>
            <c:ext xmlns:c16="http://schemas.microsoft.com/office/drawing/2014/chart" uri="{C3380CC4-5D6E-409C-BE32-E72D297353CC}">
              <c16:uniqueId val="{00000000-459F-422B-8D03-E2FB7A8D29E3}"/>
            </c:ext>
          </c:extLst>
        </c:ser>
        <c:ser>
          <c:idx val="1"/>
          <c:order val="1"/>
          <c:tx>
            <c:v>Arterials</c:v>
          </c:tx>
          <c:xVal>
            <c:numRef>
              <c:f>LinkCharacteristics!$N$24:$N$42</c:f>
              <c:numCache>
                <c:formatCode>General</c:formatCode>
                <c:ptCount val="19"/>
                <c:pt idx="0">
                  <c:v>0.2</c:v>
                </c:pt>
                <c:pt idx="1">
                  <c:v>0.3</c:v>
                </c:pt>
                <c:pt idx="2">
                  <c:v>0.5</c:v>
                </c:pt>
                <c:pt idx="3">
                  <c:v>0.7</c:v>
                </c:pt>
                <c:pt idx="4">
                  <c:v>0.8</c:v>
                </c:pt>
                <c:pt idx="5">
                  <c:v>0.9</c:v>
                </c:pt>
                <c:pt idx="6">
                  <c:v>1</c:v>
                </c:pt>
                <c:pt idx="7">
                  <c:v>1.1000000000000001</c:v>
                </c:pt>
                <c:pt idx="8">
                  <c:v>1.2</c:v>
                </c:pt>
                <c:pt idx="9">
                  <c:v>1.4</c:v>
                </c:pt>
                <c:pt idx="10">
                  <c:v>1.6</c:v>
                </c:pt>
                <c:pt idx="11">
                  <c:v>1.8</c:v>
                </c:pt>
                <c:pt idx="12">
                  <c:v>2</c:v>
                </c:pt>
                <c:pt idx="13">
                  <c:v>2.5</c:v>
                </c:pt>
                <c:pt idx="14">
                  <c:v>3</c:v>
                </c:pt>
                <c:pt idx="15">
                  <c:v>4</c:v>
                </c:pt>
                <c:pt idx="16">
                  <c:v>5</c:v>
                </c:pt>
                <c:pt idx="17">
                  <c:v>6</c:v>
                </c:pt>
                <c:pt idx="18">
                  <c:v>12</c:v>
                </c:pt>
              </c:numCache>
            </c:numRef>
          </c:xVal>
          <c:yVal>
            <c:numRef>
              <c:f>LinkCharacteristics!$R$24:$R$42</c:f>
              <c:numCache>
                <c:formatCode>General</c:formatCode>
                <c:ptCount val="19"/>
                <c:pt idx="0">
                  <c:v>44.816012909134955</c:v>
                </c:pt>
                <c:pt idx="1">
                  <c:v>44.38476933819274</c:v>
                </c:pt>
                <c:pt idx="2">
                  <c:v>42.285066949062028</c:v>
                </c:pt>
                <c:pt idx="3">
                  <c:v>38.257526808742277</c:v>
                </c:pt>
                <c:pt idx="4">
                  <c:v>35.626371075134202</c:v>
                </c:pt>
                <c:pt idx="5">
                  <c:v>32.735211959844101</c:v>
                </c:pt>
                <c:pt idx="6">
                  <c:v>29.722589167767502</c:v>
                </c:pt>
                <c:pt idx="7">
                  <c:v>26.718929557220118</c:v>
                </c:pt>
                <c:pt idx="8">
                  <c:v>23.830278200096238</c:v>
                </c:pt>
                <c:pt idx="9">
                  <c:v>18.665301174378527</c:v>
                </c:pt>
                <c:pt idx="10">
                  <c:v>14.486530937808062</c:v>
                </c:pt>
                <c:pt idx="11">
                  <c:v>11.251658225914646</c:v>
                </c:pt>
                <c:pt idx="12">
                  <c:v>8.7979098822373132</c:v>
                </c:pt>
                <c:pt idx="13">
                  <c:v>4.9786403426634704</c:v>
                </c:pt>
                <c:pt idx="14">
                  <c:v>3.021502031855769</c:v>
                </c:pt>
                <c:pt idx="15">
                  <c:v>1.3258053061594401</c:v>
                </c:pt>
                <c:pt idx="16">
                  <c:v>0.68856307819819607</c:v>
                </c:pt>
                <c:pt idx="17">
                  <c:v>0.40098693890301523</c:v>
                </c:pt>
                <c:pt idx="18">
                  <c:v>5.0482284260218127E-2</c:v>
                </c:pt>
              </c:numCache>
            </c:numRef>
          </c:yVal>
          <c:smooth val="1"/>
          <c:extLst>
            <c:ext xmlns:c16="http://schemas.microsoft.com/office/drawing/2014/chart" uri="{C3380CC4-5D6E-409C-BE32-E72D297353CC}">
              <c16:uniqueId val="{00000001-459F-422B-8D03-E2FB7A8D29E3}"/>
            </c:ext>
          </c:extLst>
        </c:ser>
        <c:ser>
          <c:idx val="2"/>
          <c:order val="2"/>
          <c:tx>
            <c:strRef>
              <c:f>LinkCharacteristics!$G$7</c:f>
              <c:strCache>
                <c:ptCount val="1"/>
                <c:pt idx="0">
                  <c:v>Ramps</c:v>
                </c:pt>
              </c:strCache>
            </c:strRef>
          </c:tx>
          <c:xVal>
            <c:numRef>
              <c:f>LinkCharacteristics!$N$43:$N$61</c:f>
              <c:numCache>
                <c:formatCode>General</c:formatCode>
                <c:ptCount val="19"/>
                <c:pt idx="0">
                  <c:v>0.2</c:v>
                </c:pt>
                <c:pt idx="1">
                  <c:v>0.3</c:v>
                </c:pt>
                <c:pt idx="2">
                  <c:v>0.5</c:v>
                </c:pt>
                <c:pt idx="3">
                  <c:v>0.7</c:v>
                </c:pt>
                <c:pt idx="4">
                  <c:v>0.8</c:v>
                </c:pt>
                <c:pt idx="5">
                  <c:v>0.9</c:v>
                </c:pt>
                <c:pt idx="6">
                  <c:v>1</c:v>
                </c:pt>
                <c:pt idx="7">
                  <c:v>1.1000000000000001</c:v>
                </c:pt>
                <c:pt idx="8">
                  <c:v>1.2</c:v>
                </c:pt>
                <c:pt idx="9">
                  <c:v>1.4</c:v>
                </c:pt>
                <c:pt idx="10">
                  <c:v>1.6</c:v>
                </c:pt>
                <c:pt idx="11">
                  <c:v>1.8</c:v>
                </c:pt>
                <c:pt idx="12">
                  <c:v>2</c:v>
                </c:pt>
                <c:pt idx="13">
                  <c:v>2.5</c:v>
                </c:pt>
                <c:pt idx="14">
                  <c:v>3</c:v>
                </c:pt>
                <c:pt idx="15">
                  <c:v>4</c:v>
                </c:pt>
                <c:pt idx="16">
                  <c:v>5</c:v>
                </c:pt>
                <c:pt idx="17">
                  <c:v>6</c:v>
                </c:pt>
                <c:pt idx="18">
                  <c:v>12</c:v>
                </c:pt>
              </c:numCache>
            </c:numRef>
          </c:xVal>
          <c:yVal>
            <c:numRef>
              <c:f>LinkCharacteristics!$R$43:$R$61</c:f>
              <c:numCache>
                <c:formatCode>General</c:formatCode>
                <c:ptCount val="19"/>
                <c:pt idx="0">
                  <c:v>39.999035807872673</c:v>
                </c:pt>
                <c:pt idx="1">
                  <c:v>39.9895285886574</c:v>
                </c:pt>
                <c:pt idx="2">
                  <c:v>39.789639047317429</c:v>
                </c:pt>
                <c:pt idx="3">
                  <c:v>38.52559852080099</c:v>
                </c:pt>
                <c:pt idx="4">
                  <c:v>36.901990269518535</c:v>
                </c:pt>
                <c:pt idx="5">
                  <c:v>34.250498701056735</c:v>
                </c:pt>
                <c:pt idx="6">
                  <c:v>30.487804878048781</c:v>
                </c:pt>
                <c:pt idx="7">
                  <c:v>25.863223043141495</c:v>
                </c:pt>
                <c:pt idx="8">
                  <c:v>20.920892100246643</c:v>
                </c:pt>
                <c:pt idx="9">
                  <c:v>12.275474610305784</c:v>
                </c:pt>
                <c:pt idx="10">
                  <c:v>6.7177035237221645</c:v>
                </c:pt>
                <c:pt idx="11">
                  <c:v>3.6675185484869193</c:v>
                </c:pt>
                <c:pt idx="12">
                  <c:v>2.0605221661703914</c:v>
                </c:pt>
                <c:pt idx="13">
                  <c:v>0.57613405165662168</c:v>
                </c:pt>
                <c:pt idx="14">
                  <c:v>0.19899178053697172</c:v>
                </c:pt>
                <c:pt idx="15">
                  <c:v>3.6777903896751667E-2</c:v>
                </c:pt>
                <c:pt idx="16">
                  <c:v>9.9027845488691372E-3</c:v>
                </c:pt>
                <c:pt idx="17">
                  <c:v>3.3884790104847045E-3</c:v>
                </c:pt>
                <c:pt idx="18">
                  <c:v>5.7422421584158405E-5</c:v>
                </c:pt>
              </c:numCache>
            </c:numRef>
          </c:yVal>
          <c:smooth val="1"/>
          <c:extLst>
            <c:ext xmlns:c16="http://schemas.microsoft.com/office/drawing/2014/chart" uri="{C3380CC4-5D6E-409C-BE32-E72D297353CC}">
              <c16:uniqueId val="{00000002-459F-422B-8D03-E2FB7A8D29E3}"/>
            </c:ext>
          </c:extLst>
        </c:ser>
        <c:dLbls>
          <c:showLegendKey val="0"/>
          <c:showVal val="0"/>
          <c:showCatName val="0"/>
          <c:showSerName val="0"/>
          <c:showPercent val="0"/>
          <c:showBubbleSize val="0"/>
        </c:dLbls>
        <c:axId val="126479744"/>
        <c:axId val="127018112"/>
      </c:scatterChart>
      <c:valAx>
        <c:axId val="126479744"/>
        <c:scaling>
          <c:orientation val="minMax"/>
        </c:scaling>
        <c:delete val="0"/>
        <c:axPos val="b"/>
        <c:numFmt formatCode="General" sourceLinked="1"/>
        <c:majorTickMark val="out"/>
        <c:minorTickMark val="none"/>
        <c:tickLblPos val="nextTo"/>
        <c:crossAx val="127018112"/>
        <c:crosses val="autoZero"/>
        <c:crossBetween val="midCat"/>
      </c:valAx>
      <c:valAx>
        <c:axId val="127018112"/>
        <c:scaling>
          <c:orientation val="minMax"/>
        </c:scaling>
        <c:delete val="0"/>
        <c:axPos val="l"/>
        <c:majorGridlines/>
        <c:numFmt formatCode="General" sourceLinked="1"/>
        <c:majorTickMark val="out"/>
        <c:minorTickMark val="none"/>
        <c:tickLblPos val="nextTo"/>
        <c:crossAx val="126479744"/>
        <c:crosses val="autoZero"/>
        <c:crossBetween val="midCat"/>
      </c:valAx>
    </c:plotArea>
    <c:legend>
      <c:legendPos val="r"/>
      <c:overlay val="0"/>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hyperlink" Target="#'3) Analysis Parameters'!A1"/><Relationship Id="rId3" Type="http://schemas.openxmlformats.org/officeDocument/2006/relationships/hyperlink" Target="https://safety.fhwa.dot.gov/hsip/planning.cfm" TargetMode="External"/><Relationship Id="rId7" Type="http://schemas.openxmlformats.org/officeDocument/2006/relationships/hyperlink" Target="#Instructions!A1"/><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hyperlink" Target="#'4) Results'!A1"/><Relationship Id="rId11" Type="http://schemas.openxmlformats.org/officeDocument/2006/relationships/image" Target="../media/image3.emf"/><Relationship Id="rId5" Type="http://schemas.openxmlformats.org/officeDocument/2006/relationships/hyperlink" Target="#'2) Project Crash Data'!A1"/><Relationship Id="rId10" Type="http://schemas.openxmlformats.org/officeDocument/2006/relationships/hyperlink" Target="#'1) Project Information'!A1"/><Relationship Id="rId4" Type="http://schemas.openxmlformats.org/officeDocument/2006/relationships/hyperlink" Target="mailto:Karen.Scurry@dot.gov" TargetMode="External"/><Relationship Id="rId9" Type="http://schemas.openxmlformats.org/officeDocument/2006/relationships/hyperlink" Target="#'Final Calculations'!A1"/></Relationships>
</file>

<file path=xl/drawings/_rels/drawing2.xml.rels><?xml version="1.0" encoding="UTF-8" standalone="yes"?>
<Relationships xmlns="http://schemas.openxmlformats.org/package/2006/relationships"><Relationship Id="rId3" Type="http://schemas.openxmlformats.org/officeDocument/2006/relationships/hyperlink" Target="https://www.sugarsync.com/pf/D714209_07174599_2577798?_ga=2.242885250.1069185728.1520621232-458533325.1516029749" TargetMode="External"/><Relationship Id="rId7" Type="http://schemas.openxmlformats.org/officeDocument/2006/relationships/hyperlink" Target="https://www.sugarsync.com/pf/D714209_07174599_2577700?_ga=2.209776533.1069185728.1520621232-458533325.1516029749" TargetMode="External"/><Relationship Id="rId2" Type="http://schemas.openxmlformats.org/officeDocument/2006/relationships/hyperlink" Target="https://www.sugarsync.com/pf/D714209_07174599_2577788?_ga=2.248671111.1069185728.1520621232-458533325.1516029749" TargetMode="External"/><Relationship Id="rId1" Type="http://schemas.openxmlformats.org/officeDocument/2006/relationships/hyperlink" Target="https://www.sugarsync.com/pf/D714209_07174599_1424267?_ga=2.181603367.1069185728.1520621232-458533325.1516029749" TargetMode="External"/><Relationship Id="rId6" Type="http://schemas.openxmlformats.org/officeDocument/2006/relationships/hyperlink" Target="https://www.sugarsync.com/pf/D714209_07174599_2577527?_ga=2.238765056.1069185728.1520621232-458533325.1516029749" TargetMode="External"/><Relationship Id="rId5" Type="http://schemas.openxmlformats.org/officeDocument/2006/relationships/hyperlink" Target="https://www.sugarsync.com/pf/D714209_07174599_2577678?_ga=2.184758057.1069185728.1520621232-458533325.1516029749" TargetMode="External"/><Relationship Id="rId4" Type="http://schemas.openxmlformats.org/officeDocument/2006/relationships/hyperlink" Target="https://www.sugarsync.com/pf/D714209_07174599_2576303?_ga=2.242959234.1069185728.1520621232-458533325.1516029749"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2) Project Crash Data'!A1"/><Relationship Id="rId1" Type="http://schemas.openxmlformats.org/officeDocument/2006/relationships/hyperlink" Target="#PrjInfo_Anchor"/></Relationships>
</file>

<file path=xl/drawings/_rels/drawing4.xml.rels><?xml version="1.0" encoding="UTF-8" standalone="yes"?>
<Relationships xmlns="http://schemas.openxmlformats.org/package/2006/relationships"><Relationship Id="rId2" Type="http://schemas.openxmlformats.org/officeDocument/2006/relationships/hyperlink" Target="#'3) Analysis Parameters'!A1"/><Relationship Id="rId1" Type="http://schemas.openxmlformats.org/officeDocument/2006/relationships/hyperlink" Target="http://www.cmfclearinghouse.org/"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4) Results'!A1"/></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9.tmp"/><Relationship Id="rId2" Type="http://schemas.openxmlformats.org/officeDocument/2006/relationships/image" Target="../media/image8.tmp"/><Relationship Id="rId1" Type="http://schemas.openxmlformats.org/officeDocument/2006/relationships/image" Target="../media/image7.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3</xdr:col>
      <xdr:colOff>259080</xdr:colOff>
      <xdr:row>12</xdr:row>
      <xdr:rowOff>0</xdr:rowOff>
    </xdr:from>
    <xdr:to>
      <xdr:col>3</xdr:col>
      <xdr:colOff>259080</xdr:colOff>
      <xdr:row>28</xdr:row>
      <xdr:rowOff>121920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0069830" y="3143250"/>
          <a:ext cx="0" cy="2788920"/>
          <a:chOff x="2286000" y="1922859"/>
          <a:chExt cx="4572000" cy="3012281"/>
        </a:xfrm>
      </xdr:grpSpPr>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1922859"/>
            <a:ext cx="4572000" cy="3012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3" descr="C:\Users\cwillige\AppData\Local\Microsoft\Windows\Temporary Internet Files\Content.IE5\15D66EJW\2648217927_92876ba92a_z[1].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52799" y="3711558"/>
            <a:ext cx="539413" cy="338204"/>
          </a:xfrm>
          <a:prstGeom prst="rect">
            <a:avLst/>
          </a:prstGeom>
          <a:noFill/>
          <a:ln>
            <a:noFill/>
          </a:ln>
          <a:effectLst>
            <a:outerShdw dist="76201" dir="2700000" algn="tl" rotWithShape="0">
              <a:srgbClr val="000000">
                <a:alpha val="29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1428206</xdr:colOff>
      <xdr:row>78</xdr:row>
      <xdr:rowOff>7757</xdr:rowOff>
    </xdr:from>
    <xdr:to>
      <xdr:col>2</xdr:col>
      <xdr:colOff>1619621</xdr:colOff>
      <xdr:row>83</xdr:row>
      <xdr:rowOff>74433</xdr:rowOff>
    </xdr:to>
    <xdr:sp macro="" textlink="">
      <xdr:nvSpPr>
        <xdr:cNvPr id="21" name="TextBox 20">
          <a:hlinkClick xmlns:r="http://schemas.openxmlformats.org/officeDocument/2006/relationships" r:id="rId3"/>
          <a:extLst>
            <a:ext uri="{FF2B5EF4-FFF2-40B4-BE49-F238E27FC236}">
              <a16:creationId xmlns:a16="http://schemas.microsoft.com/office/drawing/2014/main" id="{00000000-0008-0000-0000-000015000000}"/>
            </a:ext>
          </a:extLst>
        </xdr:cNvPr>
        <xdr:cNvSpPr txBox="1"/>
      </xdr:nvSpPr>
      <xdr:spPr>
        <a:xfrm>
          <a:off x="3485606" y="14424797"/>
          <a:ext cx="2035455" cy="904876"/>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Highway Safety BCA Guide</a:t>
          </a:r>
        </a:p>
      </xdr:txBody>
    </xdr:sp>
    <xdr:clientData/>
  </xdr:twoCellAnchor>
  <xdr:twoCellAnchor>
    <xdr:from>
      <xdr:col>2</xdr:col>
      <xdr:colOff>3274150</xdr:colOff>
      <xdr:row>78</xdr:row>
      <xdr:rowOff>38237</xdr:rowOff>
    </xdr:from>
    <xdr:to>
      <xdr:col>2</xdr:col>
      <xdr:colOff>5180065</xdr:colOff>
      <xdr:row>83</xdr:row>
      <xdr:rowOff>104913</xdr:rowOff>
    </xdr:to>
    <xdr:sp macro="" textlink="">
      <xdr:nvSpPr>
        <xdr:cNvPr id="22" name="TextBox 21">
          <a:hlinkClick xmlns:r="http://schemas.openxmlformats.org/officeDocument/2006/relationships" r:id="rId4"/>
          <a:extLst>
            <a:ext uri="{FF2B5EF4-FFF2-40B4-BE49-F238E27FC236}">
              <a16:creationId xmlns:a16="http://schemas.microsoft.com/office/drawing/2014/main" id="{00000000-0008-0000-0000-000016000000}"/>
            </a:ext>
          </a:extLst>
        </xdr:cNvPr>
        <xdr:cNvSpPr txBox="1"/>
      </xdr:nvSpPr>
      <xdr:spPr>
        <a:xfrm>
          <a:off x="7175590" y="14455277"/>
          <a:ext cx="1905915" cy="904876"/>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Email FHWA Safety Contact</a:t>
          </a:r>
        </a:p>
      </xdr:txBody>
    </xdr:sp>
    <xdr:clientData/>
  </xdr:twoCellAnchor>
  <xdr:twoCellAnchor>
    <xdr:from>
      <xdr:col>2</xdr:col>
      <xdr:colOff>322943</xdr:colOff>
      <xdr:row>1</xdr:row>
      <xdr:rowOff>16329</xdr:rowOff>
    </xdr:from>
    <xdr:to>
      <xdr:col>2</xdr:col>
      <xdr:colOff>2282372</xdr:colOff>
      <xdr:row>2</xdr:row>
      <xdr:rowOff>27216</xdr:rowOff>
    </xdr:to>
    <xdr:sp macro="" textlink="">
      <xdr:nvSpPr>
        <xdr:cNvPr id="5" name="TextBox 4">
          <a:hlinkClick xmlns:r="http://schemas.openxmlformats.org/officeDocument/2006/relationships" r:id="rId5"/>
          <a:extLst>
            <a:ext uri="{FF2B5EF4-FFF2-40B4-BE49-F238E27FC236}">
              <a16:creationId xmlns:a16="http://schemas.microsoft.com/office/drawing/2014/main" id="{00000000-0008-0000-0000-000005000000}"/>
            </a:ext>
          </a:extLst>
        </xdr:cNvPr>
        <xdr:cNvSpPr txBox="1"/>
      </xdr:nvSpPr>
      <xdr:spPr>
        <a:xfrm>
          <a:off x="4132943" y="680358"/>
          <a:ext cx="1959429" cy="892629"/>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a:solidFill>
                <a:sysClr val="windowText" lastClr="000000"/>
              </a:solidFill>
              <a:latin typeface="Gill Sans MT" panose="020B0502020104020203" pitchFamily="34" charset="0"/>
            </a:rPr>
            <a:t>Enter</a:t>
          </a:r>
          <a:r>
            <a:rPr lang="en-US" sz="1800" baseline="0">
              <a:solidFill>
                <a:sysClr val="windowText" lastClr="000000"/>
              </a:solidFill>
              <a:latin typeface="Gill Sans MT" panose="020B0502020104020203" pitchFamily="34" charset="0"/>
            </a:rPr>
            <a:t> Project Crash Data</a:t>
          </a:r>
        </a:p>
      </xdr:txBody>
    </xdr:sp>
    <xdr:clientData/>
  </xdr:twoCellAnchor>
  <xdr:twoCellAnchor>
    <xdr:from>
      <xdr:col>3</xdr:col>
      <xdr:colOff>222069</xdr:colOff>
      <xdr:row>1</xdr:row>
      <xdr:rowOff>16329</xdr:rowOff>
    </xdr:from>
    <xdr:to>
      <xdr:col>6</xdr:col>
      <xdr:colOff>320041</xdr:colOff>
      <xdr:row>2</xdr:row>
      <xdr:rowOff>27216</xdr:rowOff>
    </xdr:to>
    <xdr:sp macro="" textlink="">
      <xdr:nvSpPr>
        <xdr:cNvPr id="16" name="TextBox 15">
          <a:hlinkClick xmlns:r="http://schemas.openxmlformats.org/officeDocument/2006/relationships" r:id="rId6"/>
          <a:extLst>
            <a:ext uri="{FF2B5EF4-FFF2-40B4-BE49-F238E27FC236}">
              <a16:creationId xmlns:a16="http://schemas.microsoft.com/office/drawing/2014/main" id="{00000000-0008-0000-0000-000010000000}"/>
            </a:ext>
          </a:extLst>
        </xdr:cNvPr>
        <xdr:cNvSpPr txBox="1"/>
      </xdr:nvSpPr>
      <xdr:spPr>
        <a:xfrm>
          <a:off x="10265229" y="686889"/>
          <a:ext cx="1972492" cy="894807"/>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View BCA </a:t>
          </a:r>
        </a:p>
        <a:p>
          <a:pPr algn="ctr"/>
          <a:r>
            <a:rPr lang="en-US" sz="1800" baseline="0">
              <a:solidFill>
                <a:sysClr val="windowText" lastClr="000000"/>
              </a:solidFill>
              <a:latin typeface="Gill Sans MT" panose="020B0502020104020203" pitchFamily="34" charset="0"/>
            </a:rPr>
            <a:t>Analysis Results</a:t>
          </a:r>
        </a:p>
      </xdr:txBody>
    </xdr:sp>
    <xdr:clientData/>
  </xdr:twoCellAnchor>
  <xdr:twoCellAnchor>
    <xdr:from>
      <xdr:col>0</xdr:col>
      <xdr:colOff>76201</xdr:colOff>
      <xdr:row>1</xdr:row>
      <xdr:rowOff>16329</xdr:rowOff>
    </xdr:from>
    <xdr:to>
      <xdr:col>0</xdr:col>
      <xdr:colOff>2035630</xdr:colOff>
      <xdr:row>2</xdr:row>
      <xdr:rowOff>27216</xdr:rowOff>
    </xdr:to>
    <xdr:sp macro="" textlink="">
      <xdr:nvSpPr>
        <xdr:cNvPr id="17" name="TextBox 16">
          <a:hlinkClick xmlns:r="http://schemas.openxmlformats.org/officeDocument/2006/relationships" r:id="rId7"/>
          <a:extLst>
            <a:ext uri="{FF2B5EF4-FFF2-40B4-BE49-F238E27FC236}">
              <a16:creationId xmlns:a16="http://schemas.microsoft.com/office/drawing/2014/main" id="{00000000-0008-0000-0000-000011000000}"/>
            </a:ext>
          </a:extLst>
        </xdr:cNvPr>
        <xdr:cNvSpPr txBox="1"/>
      </xdr:nvSpPr>
      <xdr:spPr>
        <a:xfrm>
          <a:off x="76201" y="680358"/>
          <a:ext cx="1959429" cy="892629"/>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View </a:t>
          </a:r>
        </a:p>
        <a:p>
          <a:pPr algn="ctr"/>
          <a:r>
            <a:rPr lang="en-US" sz="1800" baseline="0">
              <a:solidFill>
                <a:sysClr val="windowText" lastClr="000000"/>
              </a:solidFill>
              <a:latin typeface="Gill Sans MT" panose="020B0502020104020203" pitchFamily="34" charset="0"/>
            </a:rPr>
            <a:t>Tool Instructions</a:t>
          </a:r>
        </a:p>
      </xdr:txBody>
    </xdr:sp>
    <xdr:clientData/>
  </xdr:twoCellAnchor>
  <xdr:twoCellAnchor>
    <xdr:from>
      <xdr:col>2</xdr:col>
      <xdr:colOff>2368005</xdr:colOff>
      <xdr:row>1</xdr:row>
      <xdr:rowOff>16329</xdr:rowOff>
    </xdr:from>
    <xdr:to>
      <xdr:col>2</xdr:col>
      <xdr:colOff>4329611</xdr:colOff>
      <xdr:row>2</xdr:row>
      <xdr:rowOff>27216</xdr:rowOff>
    </xdr:to>
    <xdr:sp macro="" textlink="">
      <xdr:nvSpPr>
        <xdr:cNvPr id="18" name="TextBox 17">
          <a:hlinkClick xmlns:r="http://schemas.openxmlformats.org/officeDocument/2006/relationships" r:id="rId8"/>
          <a:extLst>
            <a:ext uri="{FF2B5EF4-FFF2-40B4-BE49-F238E27FC236}">
              <a16:creationId xmlns:a16="http://schemas.microsoft.com/office/drawing/2014/main" id="{00000000-0008-0000-0000-000012000000}"/>
            </a:ext>
          </a:extLst>
        </xdr:cNvPr>
        <xdr:cNvSpPr txBox="1"/>
      </xdr:nvSpPr>
      <xdr:spPr>
        <a:xfrm>
          <a:off x="6193245" y="686889"/>
          <a:ext cx="1961606" cy="894807"/>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Enter Analysis Parameters</a:t>
          </a:r>
        </a:p>
      </xdr:txBody>
    </xdr:sp>
    <xdr:clientData/>
  </xdr:twoCellAnchor>
  <xdr:twoCellAnchor>
    <xdr:from>
      <xdr:col>2</xdr:col>
      <xdr:colOff>4398553</xdr:colOff>
      <xdr:row>1</xdr:row>
      <xdr:rowOff>16329</xdr:rowOff>
    </xdr:from>
    <xdr:to>
      <xdr:col>3</xdr:col>
      <xdr:colOff>153125</xdr:colOff>
      <xdr:row>2</xdr:row>
      <xdr:rowOff>27216</xdr:rowOff>
    </xdr:to>
    <xdr:sp macro="" textlink="">
      <xdr:nvSpPr>
        <xdr:cNvPr id="20" name="TextBox 19">
          <a:hlinkClick xmlns:r="http://schemas.openxmlformats.org/officeDocument/2006/relationships" r:id="rId9"/>
          <a:extLst>
            <a:ext uri="{FF2B5EF4-FFF2-40B4-BE49-F238E27FC236}">
              <a16:creationId xmlns:a16="http://schemas.microsoft.com/office/drawing/2014/main" id="{00000000-0008-0000-0000-000014000000}"/>
            </a:ext>
          </a:extLst>
        </xdr:cNvPr>
        <xdr:cNvSpPr txBox="1"/>
      </xdr:nvSpPr>
      <xdr:spPr>
        <a:xfrm>
          <a:off x="8223793" y="686889"/>
          <a:ext cx="1972492" cy="894807"/>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View Summary Calculations</a:t>
          </a:r>
        </a:p>
      </xdr:txBody>
    </xdr:sp>
    <xdr:clientData/>
  </xdr:twoCellAnchor>
  <xdr:twoCellAnchor>
    <xdr:from>
      <xdr:col>1</xdr:col>
      <xdr:colOff>58058</xdr:colOff>
      <xdr:row>1</xdr:row>
      <xdr:rowOff>16329</xdr:rowOff>
    </xdr:from>
    <xdr:to>
      <xdr:col>2</xdr:col>
      <xdr:colOff>254001</xdr:colOff>
      <xdr:row>2</xdr:row>
      <xdr:rowOff>27216</xdr:rowOff>
    </xdr:to>
    <xdr:sp macro="" textlink="">
      <xdr:nvSpPr>
        <xdr:cNvPr id="19" name="TextBox 18">
          <a:hlinkClick xmlns:r="http://schemas.openxmlformats.org/officeDocument/2006/relationships" r:id="rId10"/>
          <a:extLst>
            <a:ext uri="{FF2B5EF4-FFF2-40B4-BE49-F238E27FC236}">
              <a16:creationId xmlns:a16="http://schemas.microsoft.com/office/drawing/2014/main" id="{00000000-0008-0000-0000-000013000000}"/>
            </a:ext>
          </a:extLst>
        </xdr:cNvPr>
        <xdr:cNvSpPr txBox="1"/>
      </xdr:nvSpPr>
      <xdr:spPr>
        <a:xfrm>
          <a:off x="2104572" y="680358"/>
          <a:ext cx="1959429" cy="892629"/>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a:solidFill>
                <a:sysClr val="windowText" lastClr="000000"/>
              </a:solidFill>
              <a:latin typeface="Gill Sans MT" panose="020B0502020104020203" pitchFamily="34" charset="0"/>
            </a:rPr>
            <a:t>Enter</a:t>
          </a:r>
          <a:r>
            <a:rPr lang="en-US" sz="1800" baseline="0">
              <a:solidFill>
                <a:sysClr val="windowText" lastClr="000000"/>
              </a:solidFill>
              <a:latin typeface="Gill Sans MT" panose="020B0502020104020203" pitchFamily="34" charset="0"/>
            </a:rPr>
            <a:t> Project Information</a:t>
          </a:r>
        </a:p>
      </xdr:txBody>
    </xdr:sp>
    <xdr:clientData/>
  </xdr:twoCellAnchor>
  <xdr:twoCellAnchor editAs="oneCell">
    <xdr:from>
      <xdr:col>1</xdr:col>
      <xdr:colOff>15240</xdr:colOff>
      <xdr:row>13</xdr:row>
      <xdr:rowOff>15240</xdr:rowOff>
    </xdr:from>
    <xdr:to>
      <xdr:col>3</xdr:col>
      <xdr:colOff>22860</xdr:colOff>
      <xdr:row>76</xdr:row>
      <xdr:rowOff>10160</xdr:rowOff>
    </xdr:to>
    <xdr:pic>
      <xdr:nvPicPr>
        <xdr:cNvPr id="24" name="Picture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72640" y="3581400"/>
          <a:ext cx="8069580" cy="10690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2019300</xdr:colOff>
      <xdr:row>3</xdr:row>
      <xdr:rowOff>339090</xdr:rowOff>
    </xdr:from>
    <xdr:to>
      <xdr:col>9</xdr:col>
      <xdr:colOff>3143250</xdr:colOff>
      <xdr:row>5</xdr:row>
      <xdr:rowOff>78773</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00000000-0008-0000-0100-00000D000000}"/>
            </a:ext>
          </a:extLst>
        </xdr:cNvPr>
        <xdr:cNvSpPr txBox="1"/>
      </xdr:nvSpPr>
      <xdr:spPr>
        <a:xfrm>
          <a:off x="4472940" y="2167890"/>
          <a:ext cx="7174230" cy="897923"/>
        </a:xfrm>
        <a:prstGeom prst="rect">
          <a:avLst/>
        </a:prstGeom>
        <a:solidFill>
          <a:schemeClr val="accent6"/>
        </a:solidFill>
        <a:ln w="9525" cmpd="sng">
          <a:solidFill>
            <a:sysClr val="window" lastClr="FFFFFF">
              <a:shade val="50000"/>
            </a:sysClr>
          </a:solidFill>
        </a:ln>
        <a:effectLst/>
        <a:scene3d>
          <a:camera prst="orthographicFront"/>
          <a:lightRig rig="threePt" dir="t"/>
        </a:scene3d>
        <a:sp3d>
          <a:bevelT w="127000" h="133350"/>
        </a:sp3d>
      </xdr:spPr>
      <xdr:txBody>
        <a:bodyPr vertOverflow="clip" horz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800" b="1" i="0" u="none" strike="noStrike" kern="0" cap="none" spc="0" normalizeH="0" baseline="0" noProof="0">
              <a:ln>
                <a:noFill/>
              </a:ln>
              <a:solidFill>
                <a:sysClr val="windowText" lastClr="000000"/>
              </a:solidFill>
              <a:effectLst/>
              <a:uLnTx/>
              <a:uFillTx/>
              <a:latin typeface="Gill Sans MT" panose="020B0502020104020203" pitchFamily="34" charset="0"/>
              <a:ea typeface="+mn-ea"/>
              <a:cs typeface="+mn-cs"/>
            </a:rPr>
            <a:t>Full Reference Guide</a:t>
          </a:r>
        </a:p>
      </xdr:txBody>
    </xdr:sp>
    <xdr:clientData/>
  </xdr:twoCellAnchor>
  <xdr:twoCellAnchor>
    <xdr:from>
      <xdr:col>0</xdr:col>
      <xdr:colOff>222068</xdr:colOff>
      <xdr:row>1</xdr:row>
      <xdr:rowOff>143543</xdr:rowOff>
    </xdr:from>
    <xdr:to>
      <xdr:col>15</xdr:col>
      <xdr:colOff>148408</xdr:colOff>
      <xdr:row>3</xdr:row>
      <xdr:rowOff>172087</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22068" y="829343"/>
          <a:ext cx="15833090" cy="1171544"/>
          <a:chOff x="222068" y="814103"/>
          <a:chExt cx="15562580" cy="1186784"/>
        </a:xfrm>
      </xdr:grpSpPr>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100-000002000000}"/>
              </a:ext>
            </a:extLst>
          </xdr:cNvPr>
          <xdr:cNvSpPr txBox="1"/>
        </xdr:nvSpPr>
        <xdr:spPr>
          <a:xfrm>
            <a:off x="222068" y="814103"/>
            <a:ext cx="2334260" cy="1186784"/>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Introduction</a:t>
            </a:r>
          </a:p>
        </xdr:txBody>
      </xdr:sp>
      <xdr:sp macro="" textlink="">
        <xdr:nvSpPr>
          <xdr:cNvPr id="3" name="TextBox 2">
            <a:hlinkClick xmlns:r="http://schemas.openxmlformats.org/officeDocument/2006/relationships" r:id="rId3"/>
            <a:extLst>
              <a:ext uri="{FF2B5EF4-FFF2-40B4-BE49-F238E27FC236}">
                <a16:creationId xmlns:a16="http://schemas.microsoft.com/office/drawing/2014/main" id="{00000000-0008-0000-0100-000003000000}"/>
              </a:ext>
            </a:extLst>
          </xdr:cNvPr>
          <xdr:cNvSpPr txBox="1"/>
        </xdr:nvSpPr>
        <xdr:spPr>
          <a:xfrm>
            <a:off x="2910263" y="814103"/>
            <a:ext cx="2334260" cy="1186784"/>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Project Information</a:t>
            </a:r>
          </a:p>
        </xdr:txBody>
      </xdr:sp>
      <xdr:sp macro="" textlink="">
        <xdr:nvSpPr>
          <xdr:cNvPr id="4" name="TextBox 3">
            <a:hlinkClick xmlns:r="http://schemas.openxmlformats.org/officeDocument/2006/relationships" r:id="rId4"/>
            <a:extLst>
              <a:ext uri="{FF2B5EF4-FFF2-40B4-BE49-F238E27FC236}">
                <a16:creationId xmlns:a16="http://schemas.microsoft.com/office/drawing/2014/main" id="{00000000-0008-0000-0100-000004000000}"/>
              </a:ext>
            </a:extLst>
          </xdr:cNvPr>
          <xdr:cNvSpPr txBox="1"/>
        </xdr:nvSpPr>
        <xdr:spPr>
          <a:xfrm>
            <a:off x="8218489" y="814103"/>
            <a:ext cx="2336060" cy="1186784"/>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Analysis Worksheets</a:t>
            </a:r>
          </a:p>
        </xdr:txBody>
      </xdr:sp>
      <xdr:sp macro="" textlink="">
        <xdr:nvSpPr>
          <xdr:cNvPr id="10" name="TextBox 9">
            <a:hlinkClick xmlns:r="http://schemas.openxmlformats.org/officeDocument/2006/relationships" r:id="rId5"/>
            <a:extLst>
              <a:ext uri="{FF2B5EF4-FFF2-40B4-BE49-F238E27FC236}">
                <a16:creationId xmlns:a16="http://schemas.microsoft.com/office/drawing/2014/main" id="{00000000-0008-0000-0100-00000A000000}"/>
              </a:ext>
            </a:extLst>
          </xdr:cNvPr>
          <xdr:cNvSpPr txBox="1"/>
        </xdr:nvSpPr>
        <xdr:spPr>
          <a:xfrm>
            <a:off x="5598458" y="814103"/>
            <a:ext cx="2327056" cy="1186784"/>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Project Crash Data</a:t>
            </a:r>
          </a:p>
        </xdr:txBody>
      </xdr:sp>
      <xdr:sp macro="" textlink="">
        <xdr:nvSpPr>
          <xdr:cNvPr id="14" name="TextBox 13">
            <a:hlinkClick xmlns:r="http://schemas.openxmlformats.org/officeDocument/2006/relationships" r:id="rId6"/>
            <a:extLst>
              <a:ext uri="{FF2B5EF4-FFF2-40B4-BE49-F238E27FC236}">
                <a16:creationId xmlns:a16="http://schemas.microsoft.com/office/drawing/2014/main" id="{00000000-0008-0000-0100-00000E000000}"/>
              </a:ext>
            </a:extLst>
          </xdr:cNvPr>
          <xdr:cNvSpPr txBox="1"/>
        </xdr:nvSpPr>
        <xdr:spPr>
          <a:xfrm>
            <a:off x="10817860" y="816309"/>
            <a:ext cx="2334260" cy="1182373"/>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Benefits Worksheets</a:t>
            </a:r>
          </a:p>
        </xdr:txBody>
      </xdr:sp>
      <xdr:sp macro="" textlink="">
        <xdr:nvSpPr>
          <xdr:cNvPr id="20" name="TextBox 19">
            <a:hlinkClick xmlns:r="http://schemas.openxmlformats.org/officeDocument/2006/relationships" r:id="rId7"/>
            <a:extLst>
              <a:ext uri="{FF2B5EF4-FFF2-40B4-BE49-F238E27FC236}">
                <a16:creationId xmlns:a16="http://schemas.microsoft.com/office/drawing/2014/main" id="{00000000-0008-0000-0100-000014000000}"/>
              </a:ext>
            </a:extLst>
          </xdr:cNvPr>
          <xdr:cNvSpPr txBox="1"/>
        </xdr:nvSpPr>
        <xdr:spPr>
          <a:xfrm>
            <a:off x="13450388" y="816308"/>
            <a:ext cx="2334260" cy="1182374"/>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Systemic Programs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66674</xdr:colOff>
      <xdr:row>102</xdr:row>
      <xdr:rowOff>219075</xdr:rowOff>
    </xdr:from>
    <xdr:to>
      <xdr:col>7</xdr:col>
      <xdr:colOff>2252090</xdr:colOff>
      <xdr:row>105</xdr:row>
      <xdr:rowOff>72771</xdr:rowOff>
    </xdr:to>
    <xdr:sp macro="" textlink="">
      <xdr:nvSpPr>
        <xdr:cNvPr id="9" name="TextBox 8">
          <a:hlinkClick xmlns:r="http://schemas.openxmlformats.org/officeDocument/2006/relationships" r:id="rId1"/>
          <a:extLst>
            <a:ext uri="{FF2B5EF4-FFF2-40B4-BE49-F238E27FC236}">
              <a16:creationId xmlns:a16="http://schemas.microsoft.com/office/drawing/2014/main" id="{00000000-0008-0000-0200-000009000000}"/>
            </a:ext>
          </a:extLst>
        </xdr:cNvPr>
        <xdr:cNvSpPr txBox="1"/>
      </xdr:nvSpPr>
      <xdr:spPr>
        <a:xfrm>
          <a:off x="17078324" y="28155900"/>
          <a:ext cx="2185416" cy="996696"/>
        </a:xfrm>
        <a:prstGeom prst="rect">
          <a:avLst/>
        </a:prstGeom>
        <a:gradFill>
          <a:gsLst>
            <a:gs pos="0">
              <a:srgbClr val="47A5D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Back To Top</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11</xdr:row>
          <xdr:rowOff>19050</xdr:rowOff>
        </xdr:from>
        <xdr:to>
          <xdr:col>4</xdr:col>
          <xdr:colOff>781050</xdr:colOff>
          <xdr:row>11</xdr:row>
          <xdr:rowOff>371475</xdr:rowOff>
        </xdr:to>
        <xdr:sp macro="" textlink="">
          <xdr:nvSpPr>
            <xdr:cNvPr id="4102" name="inputFacilityType"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142874</xdr:colOff>
      <xdr:row>102</xdr:row>
      <xdr:rowOff>209550</xdr:rowOff>
    </xdr:from>
    <xdr:to>
      <xdr:col>8</xdr:col>
      <xdr:colOff>2328290</xdr:colOff>
      <xdr:row>105</xdr:row>
      <xdr:rowOff>63246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9421474" y="28146375"/>
          <a:ext cx="2185416" cy="996696"/>
        </a:xfrm>
        <a:prstGeom prst="rect">
          <a:avLst/>
        </a:prstGeom>
        <a:gradFill>
          <a:gsLst>
            <a:gs pos="0">
              <a:srgbClr val="47A5D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Next Step</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1600200</xdr:colOff>
      <xdr:row>7</xdr:row>
      <xdr:rowOff>287655</xdr:rowOff>
    </xdr:from>
    <xdr:to>
      <xdr:col>7</xdr:col>
      <xdr:colOff>1866900</xdr:colOff>
      <xdr:row>9</xdr:row>
      <xdr:rowOff>400323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flipH="1">
          <a:off x="12763500" y="3697605"/>
          <a:ext cx="2228850" cy="1008018"/>
        </a:xfrm>
        <a:prstGeom prst="rect">
          <a:avLst/>
        </a:prstGeom>
        <a:solidFill>
          <a:schemeClr val="accent6"/>
        </a:solidFill>
        <a:ln w="9525" cmpd="sng">
          <a:solidFill>
            <a:schemeClr val="lt1">
              <a:shade val="50000"/>
            </a:schemeClr>
          </a:solidFill>
        </a:ln>
        <a:effectLst/>
        <a:scene3d>
          <a:camera prst="orthographicFront"/>
          <a:lightRig rig="threePt" dir="t"/>
        </a:scene3d>
        <a:sp3d>
          <a:bevelT w="127000" h="13335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CMF Clearinghouse</a:t>
          </a:r>
        </a:p>
      </xdr:txBody>
    </xdr:sp>
    <xdr:clientData/>
  </xdr:twoCellAnchor>
  <mc:AlternateContent xmlns:mc="http://schemas.openxmlformats.org/markup-compatibility/2006">
    <mc:Choice xmlns:a14="http://schemas.microsoft.com/office/drawing/2010/main" Requires="a14">
      <xdr:twoCellAnchor editAs="absolute">
        <xdr:from>
          <xdr:col>3</xdr:col>
          <xdr:colOff>1028700</xdr:colOff>
          <xdr:row>3</xdr:row>
          <xdr:rowOff>133350</xdr:rowOff>
        </xdr:from>
        <xdr:to>
          <xdr:col>5</xdr:col>
          <xdr:colOff>971550</xdr:colOff>
          <xdr:row>4</xdr:row>
          <xdr:rowOff>95250</xdr:rowOff>
        </xdr:to>
        <xdr:sp macro="" textlink="">
          <xdr:nvSpPr>
            <xdr:cNvPr id="5121" name="ComboBox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1000125</xdr:colOff>
          <xdr:row>4</xdr:row>
          <xdr:rowOff>409575</xdr:rowOff>
        </xdr:from>
        <xdr:to>
          <xdr:col>5</xdr:col>
          <xdr:colOff>933450</xdr:colOff>
          <xdr:row>5</xdr:row>
          <xdr:rowOff>314325</xdr:rowOff>
        </xdr:to>
        <xdr:sp macro="" textlink="">
          <xdr:nvSpPr>
            <xdr:cNvPr id="5122" name="ComboBox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xdr:col>
      <xdr:colOff>51955</xdr:colOff>
      <xdr:row>19</xdr:row>
      <xdr:rowOff>103908</xdr:rowOff>
    </xdr:from>
    <xdr:to>
      <xdr:col>1</xdr:col>
      <xdr:colOff>2237371</xdr:colOff>
      <xdr:row>21</xdr:row>
      <xdr:rowOff>121642</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300-000005000000}"/>
            </a:ext>
          </a:extLst>
        </xdr:cNvPr>
        <xdr:cNvSpPr txBox="1"/>
      </xdr:nvSpPr>
      <xdr:spPr>
        <a:xfrm>
          <a:off x="658091" y="9836726"/>
          <a:ext cx="2185416" cy="987552"/>
        </a:xfrm>
        <a:prstGeom prst="rect">
          <a:avLst/>
        </a:prstGeom>
        <a:solidFill>
          <a:schemeClr val="accent6"/>
        </a:solidFill>
        <a:ln w="9525" cmpd="sng">
          <a:solidFill>
            <a:schemeClr val="lt1">
              <a:shade val="50000"/>
            </a:schemeClr>
          </a:solidFill>
        </a:ln>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Next Step</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65313</xdr:colOff>
      <xdr:row>14</xdr:row>
      <xdr:rowOff>95249</xdr:rowOff>
    </xdr:from>
    <xdr:to>
      <xdr:col>10</xdr:col>
      <xdr:colOff>78922</xdr:colOff>
      <xdr:row>17</xdr:row>
      <xdr:rowOff>304798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9323613" y="6286499"/>
          <a:ext cx="3214009" cy="1523999"/>
        </a:xfrm>
        <a:prstGeom prst="rect">
          <a:avLst/>
        </a:prstGeom>
        <a:solidFill>
          <a:schemeClr val="accent6"/>
        </a:solidFill>
        <a:ln w="9525" cmpd="sng">
          <a:solidFill>
            <a:schemeClr val="lt1">
              <a:shade val="50000"/>
            </a:schemeClr>
          </a:solidFill>
        </a:ln>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aseline="0">
              <a:solidFill>
                <a:sysClr val="windowText" lastClr="000000"/>
              </a:solidFill>
              <a:latin typeface="Gill Sans MT" panose="020B0502020104020203" pitchFamily="34" charset="0"/>
            </a:rPr>
            <a:t>Next Step</a:t>
          </a:r>
          <a:endParaRPr lang="en-US" sz="1000" baseline="0">
            <a:solidFill>
              <a:sysClr val="windowText" lastClr="000000"/>
            </a:solidFill>
            <a:latin typeface="Gill Sans MT" panose="020B0502020104020203"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12698</xdr:colOff>
      <xdr:row>16</xdr:row>
      <xdr:rowOff>29210</xdr:rowOff>
    </xdr:from>
    <xdr:to>
      <xdr:col>11</xdr:col>
      <xdr:colOff>1162049</xdr:colOff>
      <xdr:row>41</xdr:row>
      <xdr:rowOff>129540</xdr:rowOff>
    </xdr:to>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21167</xdr:colOff>
      <xdr:row>42</xdr:row>
      <xdr:rowOff>154940</xdr:rowOff>
    </xdr:from>
    <xdr:to>
      <xdr:col>11</xdr:col>
      <xdr:colOff>1162050</xdr:colOff>
      <xdr:row>69</xdr:row>
      <xdr:rowOff>167640</xdr:rowOff>
    </xdr:to>
    <xdr:graphicFrame macro="">
      <xdr:nvGraphicFramePr>
        <xdr:cNvPr id="8" name="Chart 7">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432459</xdr:colOff>
      <xdr:row>68</xdr:row>
      <xdr:rowOff>69272</xdr:rowOff>
    </xdr:from>
    <xdr:to>
      <xdr:col>4</xdr:col>
      <xdr:colOff>1143000</xdr:colOff>
      <xdr:row>69</xdr:row>
      <xdr:rowOff>156358</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3404259" y="13646727"/>
          <a:ext cx="710541" cy="26719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Costs</a:t>
          </a:r>
        </a:p>
      </xdr:txBody>
    </xdr:sp>
    <xdr:clientData/>
  </xdr:twoCellAnchor>
  <xdr:twoCellAnchor>
    <xdr:from>
      <xdr:col>10</xdr:col>
      <xdr:colOff>304799</xdr:colOff>
      <xdr:row>68</xdr:row>
      <xdr:rowOff>69271</xdr:rowOff>
    </xdr:from>
    <xdr:to>
      <xdr:col>10</xdr:col>
      <xdr:colOff>1015340</xdr:colOff>
      <xdr:row>69</xdr:row>
      <xdr:rowOff>156357</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7142017" y="13646726"/>
          <a:ext cx="710541" cy="26719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Benefits</a:t>
          </a:r>
        </a:p>
      </xdr:txBody>
    </xdr:sp>
    <xdr:clientData/>
  </xdr:twoCellAnchor>
  <mc:AlternateContent xmlns:mc="http://schemas.openxmlformats.org/markup-compatibility/2006">
    <mc:Choice xmlns:a14="http://schemas.microsoft.com/office/drawing/2010/main" Requires="a14">
      <xdr:twoCellAnchor>
        <xdr:from>
          <xdr:col>11</xdr:col>
          <xdr:colOff>971550</xdr:colOff>
          <xdr:row>0</xdr:row>
          <xdr:rowOff>104775</xdr:rowOff>
        </xdr:from>
        <xdr:to>
          <xdr:col>13</xdr:col>
          <xdr:colOff>0</xdr:colOff>
          <xdr:row>0</xdr:row>
          <xdr:rowOff>390525</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12</xdr:row>
      <xdr:rowOff>2721</xdr:rowOff>
    </xdr:from>
    <xdr:to>
      <xdr:col>10</xdr:col>
      <xdr:colOff>303442</xdr:colOff>
      <xdr:row>30</xdr:row>
      <xdr:rowOff>78921</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34</xdr:row>
      <xdr:rowOff>11206</xdr:rowOff>
    </xdr:from>
    <xdr:to>
      <xdr:col>10</xdr:col>
      <xdr:colOff>313128</xdr:colOff>
      <xdr:row>51</xdr:row>
      <xdr:rowOff>164079</xdr:rowOff>
    </xdr:to>
    <xdr:pic>
      <xdr:nvPicPr>
        <xdr:cNvPr id="7" name="Picture 6" descr="Screen Clipping">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541559"/>
          <a:ext cx="7478169" cy="3391373"/>
        </a:xfrm>
        <a:prstGeom prst="rect">
          <a:avLst/>
        </a:prstGeom>
      </xdr:spPr>
    </xdr:pic>
    <xdr:clientData/>
  </xdr:twoCellAnchor>
  <xdr:twoCellAnchor editAs="oneCell">
    <xdr:from>
      <xdr:col>1</xdr:col>
      <xdr:colOff>56029</xdr:colOff>
      <xdr:row>17</xdr:row>
      <xdr:rowOff>145676</xdr:rowOff>
    </xdr:from>
    <xdr:to>
      <xdr:col>7</xdr:col>
      <xdr:colOff>200776</xdr:colOff>
      <xdr:row>27</xdr:row>
      <xdr:rowOff>45089</xdr:rowOff>
    </xdr:to>
    <xdr:pic>
      <xdr:nvPicPr>
        <xdr:cNvPr id="9" name="Picture 8" descr="Screen Clipping">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7382" y="4336676"/>
          <a:ext cx="5382376" cy="1905266"/>
        </a:xfrm>
        <a:prstGeom prst="rect">
          <a:avLst/>
        </a:prstGeom>
      </xdr:spPr>
    </xdr:pic>
    <xdr:clientData/>
  </xdr:twoCellAnchor>
  <xdr:twoCellAnchor editAs="oneCell">
    <xdr:from>
      <xdr:col>0</xdr:col>
      <xdr:colOff>0</xdr:colOff>
      <xdr:row>53</xdr:row>
      <xdr:rowOff>44823</xdr:rowOff>
    </xdr:from>
    <xdr:to>
      <xdr:col>8</xdr:col>
      <xdr:colOff>63630</xdr:colOff>
      <xdr:row>64</xdr:row>
      <xdr:rowOff>92758</xdr:rowOff>
    </xdr:to>
    <xdr:pic>
      <xdr:nvPicPr>
        <xdr:cNvPr id="11" name="Picture 10" descr="Screen Clipping">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1194676"/>
          <a:ext cx="6287377" cy="2219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751-799\781-1%20Safety%20BCA\Task%204%20BCA%20Tool\BCA%20Reference%20Tools\CAL-BC_v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751-799/763-2%20OPS%20BCA%20II/TOPS-BC%20Versions/TOPS-BC%20version%202.0%20-%206-20-17%20-%20Leidos%20with%201.4__1.5_1.6_1.12%20RM-Reliability%2011-15-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structions"/>
      <sheetName val="1) Project Information"/>
      <sheetName val="2) Model Inputs"/>
      <sheetName val="3) Results"/>
      <sheetName val="Travel Time"/>
      <sheetName val="Vehicle Operating Costs"/>
      <sheetName val="Accident Costs"/>
      <sheetName val="Emissions"/>
      <sheetName val="Final Calculations"/>
      <sheetName val="PARAMETERS"/>
      <sheetName val="Original"/>
    </sheetNames>
    <sheetDataSet>
      <sheetData sheetId="0"/>
      <sheetData sheetId="1"/>
      <sheetData sheetId="2">
        <row r="4">
          <cell r="E4" t="str">
            <v>Hypothetical Project</v>
          </cell>
        </row>
        <row r="12">
          <cell r="Q12">
            <v>6.0000000000000001E-3</v>
          </cell>
        </row>
        <row r="13">
          <cell r="Q13">
            <v>0.28999999999999998</v>
          </cell>
        </row>
        <row r="14">
          <cell r="Q14">
            <v>0.55000000000000004</v>
          </cell>
        </row>
        <row r="15">
          <cell r="F15">
            <v>2</v>
          </cell>
        </row>
        <row r="17">
          <cell r="F17">
            <v>5</v>
          </cell>
        </row>
        <row r="30">
          <cell r="H30">
            <v>0</v>
          </cell>
          <cell r="P30">
            <v>0.40300000000000002</v>
          </cell>
        </row>
        <row r="31">
          <cell r="G31">
            <v>35</v>
          </cell>
          <cell r="H31">
            <v>35</v>
          </cell>
          <cell r="Q31">
            <v>1</v>
          </cell>
        </row>
        <row r="32">
          <cell r="H32">
            <v>0</v>
          </cell>
        </row>
        <row r="33">
          <cell r="G33">
            <v>0</v>
          </cell>
        </row>
        <row r="38">
          <cell r="G38">
            <v>0</v>
          </cell>
          <cell r="H38">
            <v>0</v>
          </cell>
        </row>
        <row r="39">
          <cell r="H39">
            <v>0</v>
          </cell>
        </row>
        <row r="40">
          <cell r="H40">
            <v>0</v>
          </cell>
        </row>
        <row r="42">
          <cell r="G42">
            <v>0</v>
          </cell>
          <cell r="H42">
            <v>0</v>
          </cell>
        </row>
        <row r="43">
          <cell r="G43">
            <v>0.09</v>
          </cell>
          <cell r="H43">
            <v>0.09</v>
          </cell>
        </row>
        <row r="47">
          <cell r="G47">
            <v>0</v>
          </cell>
          <cell r="H47">
            <v>0</v>
          </cell>
        </row>
        <row r="48">
          <cell r="P48">
            <v>0</v>
          </cell>
        </row>
        <row r="49">
          <cell r="P49">
            <v>0</v>
          </cell>
        </row>
        <row r="51">
          <cell r="G51">
            <v>0</v>
          </cell>
          <cell r="H51">
            <v>0</v>
          </cell>
        </row>
        <row r="52">
          <cell r="G52">
            <v>0</v>
          </cell>
          <cell r="H52">
            <v>0</v>
          </cell>
        </row>
        <row r="56">
          <cell r="G56">
            <v>0</v>
          </cell>
          <cell r="H56">
            <v>0</v>
          </cell>
        </row>
        <row r="59">
          <cell r="G59">
            <v>1.3</v>
          </cell>
          <cell r="H59">
            <v>1.3</v>
          </cell>
        </row>
        <row r="60">
          <cell r="G60">
            <v>1.1499999999999999</v>
          </cell>
          <cell r="H60">
            <v>1.1499999999999999</v>
          </cell>
        </row>
        <row r="61">
          <cell r="G61">
            <v>2.15</v>
          </cell>
          <cell r="H61">
            <v>2.15</v>
          </cell>
        </row>
      </sheetData>
      <sheetData sheetId="3"/>
      <sheetData sheetId="4"/>
      <sheetData sheetId="5"/>
      <sheetData sheetId="6"/>
      <sheetData sheetId="7"/>
      <sheetData sheetId="8">
        <row r="46">
          <cell r="AY46" t="e">
            <v>#N/A</v>
          </cell>
        </row>
      </sheetData>
      <sheetData sheetId="9">
        <row r="54">
          <cell r="AM54" t="str">
            <v>N/A</v>
          </cell>
        </row>
        <row r="55">
          <cell r="O55" t="e">
            <v>#N/A</v>
          </cell>
          <cell r="P55">
            <v>0</v>
          </cell>
          <cell r="Q55" t="e">
            <v>#N/A</v>
          </cell>
        </row>
        <row r="58">
          <cell r="AM58" t="str">
            <v>N/A</v>
          </cell>
        </row>
      </sheetData>
      <sheetData sheetId="10">
        <row r="9">
          <cell r="Z9" t="str">
            <v>Highway Capacity Expansion</v>
          </cell>
        </row>
        <row r="10">
          <cell r="Z10" t="str">
            <v xml:space="preserve">    General Highway</v>
          </cell>
        </row>
        <row r="11">
          <cell r="Z11" t="str">
            <v xml:space="preserve">    HOV Lane Addition</v>
          </cell>
        </row>
        <row r="12">
          <cell r="F12">
            <v>0.04</v>
          </cell>
          <cell r="Z12" t="str">
            <v xml:space="preserve">    HOT Lane Addition</v>
          </cell>
        </row>
        <row r="13">
          <cell r="Z13" t="str">
            <v xml:space="preserve">    Passing Lane</v>
          </cell>
          <cell r="AA13" t="b">
            <v>0</v>
          </cell>
          <cell r="CX13">
            <v>0</v>
          </cell>
          <cell r="CY13">
            <v>125</v>
          </cell>
          <cell r="CZ13">
            <v>150</v>
          </cell>
          <cell r="DA13">
            <v>350</v>
          </cell>
          <cell r="DE13">
            <v>0</v>
          </cell>
          <cell r="DF13">
            <v>1</v>
          </cell>
          <cell r="DG13">
            <v>1.0249999999999999</v>
          </cell>
          <cell r="DL13">
            <v>0</v>
          </cell>
          <cell r="DM13">
            <v>1</v>
          </cell>
          <cell r="DN13">
            <v>1</v>
          </cell>
          <cell r="DS13" t="str">
            <v>AMoth</v>
          </cell>
          <cell r="DT13">
            <v>1.024390243902439</v>
          </cell>
          <cell r="DU13">
            <v>0.95033206287590888</v>
          </cell>
          <cell r="DV13">
            <v>1.0226480836236935</v>
          </cell>
          <cell r="DW13">
            <v>0.95024785653448107</v>
          </cell>
          <cell r="DX13">
            <v>-5.0482654714564399</v>
          </cell>
          <cell r="DY13">
            <v>12.812004768254743</v>
          </cell>
          <cell r="DZ13">
            <v>1.3685377639581497</v>
          </cell>
          <cell r="EA13">
            <v>0.73649754500818332</v>
          </cell>
        </row>
        <row r="14">
          <cell r="Z14" t="str">
            <v xml:space="preserve">    Intersection</v>
          </cell>
          <cell r="AA14" t="b">
            <v>0</v>
          </cell>
          <cell r="CX14">
            <v>25</v>
          </cell>
          <cell r="CY14">
            <v>150</v>
          </cell>
          <cell r="CZ14">
            <v>200</v>
          </cell>
          <cell r="DA14">
            <v>500</v>
          </cell>
          <cell r="DE14">
            <v>25</v>
          </cell>
          <cell r="DF14">
            <v>1</v>
          </cell>
          <cell r="DG14">
            <v>1.0249999999999999</v>
          </cell>
          <cell r="DL14">
            <v>2E-3</v>
          </cell>
          <cell r="DM14">
            <v>0.98199999999999998</v>
          </cell>
          <cell r="DN14">
            <v>0.98799999999999999</v>
          </cell>
          <cell r="DS14" t="str">
            <v>AMsev</v>
          </cell>
          <cell r="DT14">
            <v>1.5309734513274336</v>
          </cell>
          <cell r="DU14">
            <v>0.93858158077544918</v>
          </cell>
          <cell r="DV14">
            <v>1.5339233038348083</v>
          </cell>
          <cell r="DW14">
            <v>0.93652523253026121</v>
          </cell>
          <cell r="DX14">
            <v>1.2055967118725646</v>
          </cell>
          <cell r="DY14">
            <v>1.3795286778842835</v>
          </cell>
          <cell r="DZ14">
            <v>-0.36526583947602581</v>
          </cell>
          <cell r="EA14">
            <v>1</v>
          </cell>
        </row>
        <row r="15">
          <cell r="Z15" t="str">
            <v xml:space="preserve">    Bypass</v>
          </cell>
          <cell r="CX15">
            <v>50</v>
          </cell>
          <cell r="CY15">
            <v>175</v>
          </cell>
          <cell r="CZ15">
            <v>250</v>
          </cell>
          <cell r="DA15">
            <v>675</v>
          </cell>
          <cell r="DE15">
            <v>50</v>
          </cell>
          <cell r="DF15">
            <v>1</v>
          </cell>
          <cell r="DG15">
            <v>1.0249999999999999</v>
          </cell>
          <cell r="DL15">
            <v>4.0000000000000001E-3</v>
          </cell>
          <cell r="DM15">
            <v>0.96399999999999997</v>
          </cell>
          <cell r="DN15">
            <v>0.97599999999999998</v>
          </cell>
          <cell r="DS15" t="str">
            <v>IMoth</v>
          </cell>
          <cell r="DT15">
            <v>0.87631975867269996</v>
          </cell>
          <cell r="DU15">
            <v>1.1787414968749441</v>
          </cell>
          <cell r="DV15">
            <v>0.97934595524956969</v>
          </cell>
          <cell r="DW15">
            <v>0.95560600171461807</v>
          </cell>
          <cell r="DX15">
            <v>0.51279967249004688</v>
          </cell>
          <cell r="DY15">
            <v>0.14821287797598934</v>
          </cell>
          <cell r="DZ15">
            <v>5.8798924429168148E-2</v>
          </cell>
          <cell r="EA15">
            <v>0.73649754500818332</v>
          </cell>
        </row>
        <row r="16">
          <cell r="Z16" t="str">
            <v xml:space="preserve">    Queuing</v>
          </cell>
          <cell r="AA16" t="b">
            <v>0</v>
          </cell>
          <cell r="CX16">
            <v>75</v>
          </cell>
          <cell r="CY16">
            <v>200</v>
          </cell>
          <cell r="CZ16">
            <v>300</v>
          </cell>
          <cell r="DA16">
            <v>750</v>
          </cell>
          <cell r="DE16">
            <v>75</v>
          </cell>
          <cell r="DF16">
            <v>1</v>
          </cell>
          <cell r="DG16">
            <v>1.0249999999999999</v>
          </cell>
          <cell r="DL16">
            <v>6.0000000000000001E-3</v>
          </cell>
          <cell r="DM16">
            <v>0.94499999999999995</v>
          </cell>
          <cell r="DN16">
            <v>0.96399999999999997</v>
          </cell>
          <cell r="DS16" t="str">
            <v>IMsev</v>
          </cell>
          <cell r="DT16">
            <v>1.0063897763578276</v>
          </cell>
          <cell r="DU16">
            <v>0.97248628615245469</v>
          </cell>
          <cell r="DV16">
            <v>1.0095846645367412</v>
          </cell>
          <cell r="DW16">
            <v>0.94610556221859576</v>
          </cell>
          <cell r="DX16">
            <v>0.29570448855547743</v>
          </cell>
          <cell r="DY16">
            <v>0.31261145032655596</v>
          </cell>
          <cell r="DZ16">
            <v>0.3020072068746259</v>
          </cell>
          <cell r="EA16">
            <v>1</v>
          </cell>
        </row>
        <row r="17">
          <cell r="Z17" t="str">
            <v xml:space="preserve">    Pavement</v>
          </cell>
          <cell r="AA17" t="b">
            <v>0</v>
          </cell>
          <cell r="CX17">
            <v>100</v>
          </cell>
          <cell r="CY17">
            <v>275</v>
          </cell>
          <cell r="CZ17">
            <v>400</v>
          </cell>
          <cell r="DA17">
            <v>750</v>
          </cell>
          <cell r="DE17">
            <v>100</v>
          </cell>
          <cell r="DF17">
            <v>1</v>
          </cell>
          <cell r="DG17">
            <v>1.0249999999999999</v>
          </cell>
          <cell r="DL17">
            <v>8.0000000000000002E-3</v>
          </cell>
          <cell r="DM17">
            <v>0.92700000000000005</v>
          </cell>
          <cell r="DN17">
            <v>0.95199999999999996</v>
          </cell>
          <cell r="DS17" t="str">
            <v>NoAdj</v>
          </cell>
          <cell r="DT17">
            <v>1</v>
          </cell>
          <cell r="DU17">
            <v>1</v>
          </cell>
          <cell r="DV17">
            <v>1</v>
          </cell>
          <cell r="DW17">
            <v>1</v>
          </cell>
          <cell r="DX17">
            <v>0</v>
          </cell>
          <cell r="DY17">
            <v>0</v>
          </cell>
          <cell r="DZ17">
            <v>0</v>
          </cell>
          <cell r="EA17">
            <v>1</v>
          </cell>
        </row>
        <row r="18">
          <cell r="CX18">
            <v>125</v>
          </cell>
          <cell r="CY18">
            <v>325</v>
          </cell>
          <cell r="CZ18">
            <v>475</v>
          </cell>
          <cell r="DA18">
            <v>750</v>
          </cell>
          <cell r="DE18">
            <v>125</v>
          </cell>
          <cell r="DF18">
            <v>1</v>
          </cell>
          <cell r="DG18">
            <v>1.0249999999999999</v>
          </cell>
          <cell r="DL18">
            <v>0.01</v>
          </cell>
          <cell r="DM18">
            <v>0.90900000000000003</v>
          </cell>
          <cell r="DN18">
            <v>0.93899999999999995</v>
          </cell>
          <cell r="DS18" t="str">
            <v>ORoth</v>
          </cell>
          <cell r="DT18">
            <v>0.97560975609756106</v>
          </cell>
          <cell r="DU18">
            <v>1.0335839456919951</v>
          </cell>
          <cell r="DV18">
            <v>1</v>
          </cell>
          <cell r="DW18">
            <v>1</v>
          </cell>
          <cell r="DX18">
            <v>-7.3566477910576925E-2</v>
          </cell>
          <cell r="DY18">
            <v>-3.0716152193242731E-2</v>
          </cell>
          <cell r="DZ18">
            <v>-6.9602992603797764E-2</v>
          </cell>
          <cell r="EA18">
            <v>0</v>
          </cell>
        </row>
        <row r="19">
          <cell r="M19">
            <v>1.56</v>
          </cell>
          <cell r="Z19" t="str">
            <v>Rail or Transit Cap Expansion</v>
          </cell>
          <cell r="CX19">
            <v>150</v>
          </cell>
          <cell r="CY19">
            <v>400</v>
          </cell>
          <cell r="CZ19">
            <v>575</v>
          </cell>
          <cell r="DA19">
            <v>750</v>
          </cell>
          <cell r="DE19">
            <v>150</v>
          </cell>
          <cell r="DF19">
            <v>1</v>
          </cell>
          <cell r="DG19">
            <v>1.0129999999999999</v>
          </cell>
          <cell r="DL19">
            <v>1.2E-2</v>
          </cell>
          <cell r="DM19">
            <v>0.89100000000000001</v>
          </cell>
          <cell r="DN19">
            <v>0.92700000000000005</v>
          </cell>
          <cell r="DS19" t="str">
            <v>ORsev</v>
          </cell>
          <cell r="DT19">
            <v>0.95224719101123478</v>
          </cell>
          <cell r="DU19">
            <v>1.0280690721958967</v>
          </cell>
          <cell r="DV19">
            <v>1</v>
          </cell>
          <cell r="DW19">
            <v>1</v>
          </cell>
          <cell r="DX19">
            <v>-1.4815053347415766E-3</v>
          </cell>
          <cell r="DY19">
            <v>-1.3238335688661946E-3</v>
          </cell>
          <cell r="DZ19">
            <v>5.6743741804302186</v>
          </cell>
          <cell r="EA19">
            <v>0</v>
          </cell>
        </row>
        <row r="20">
          <cell r="Z20" t="str">
            <v xml:space="preserve">    Passenger Rail</v>
          </cell>
          <cell r="AA20" t="b">
            <v>0</v>
          </cell>
          <cell r="CX20">
            <v>175</v>
          </cell>
          <cell r="CY20">
            <v>500</v>
          </cell>
          <cell r="CZ20">
            <v>700</v>
          </cell>
          <cell r="DA20">
            <v>750</v>
          </cell>
          <cell r="DE20">
            <v>175</v>
          </cell>
          <cell r="DF20">
            <v>1</v>
          </cell>
          <cell r="DG20">
            <v>1</v>
          </cell>
          <cell r="DL20">
            <v>1.4E-2</v>
          </cell>
          <cell r="DM20">
            <v>0.873</v>
          </cell>
          <cell r="DN20">
            <v>0.91500000000000004</v>
          </cell>
          <cell r="DS20" t="str">
            <v>RMoth</v>
          </cell>
          <cell r="DT20">
            <v>1</v>
          </cell>
          <cell r="DU20">
            <v>1</v>
          </cell>
          <cell r="DV20">
            <v>1.0249999999999999</v>
          </cell>
          <cell r="DW20">
            <v>0.96750728779024331</v>
          </cell>
          <cell r="DX20">
            <v>-7.3566477910576925E-2</v>
          </cell>
          <cell r="DY20">
            <v>-3.0716152193242731E-2</v>
          </cell>
          <cell r="DZ20">
            <v>-6.9602992603797764E-2</v>
          </cell>
          <cell r="EA20">
            <v>1</v>
          </cell>
        </row>
        <row r="21">
          <cell r="M21">
            <v>0.40300000000000002</v>
          </cell>
          <cell r="Z21" t="str">
            <v xml:space="preserve">    Light-Rail (LRT)</v>
          </cell>
          <cell r="AA21" t="b">
            <v>0</v>
          </cell>
          <cell r="CX21">
            <v>200</v>
          </cell>
          <cell r="CY21">
            <v>575</v>
          </cell>
          <cell r="CZ21">
            <v>750</v>
          </cell>
          <cell r="DA21">
            <v>750</v>
          </cell>
          <cell r="DE21">
            <v>200</v>
          </cell>
          <cell r="DF21">
            <v>1</v>
          </cell>
          <cell r="DG21">
            <v>0.98</v>
          </cell>
          <cell r="DL21">
            <v>1.6E-2</v>
          </cell>
          <cell r="DM21">
            <v>0.85499999999999998</v>
          </cell>
          <cell r="DN21">
            <v>0.90300000000000002</v>
          </cell>
          <cell r="DS21" t="str">
            <v>RMsev</v>
          </cell>
          <cell r="DT21">
            <v>1</v>
          </cell>
          <cell r="DU21">
            <v>1</v>
          </cell>
          <cell r="DV21">
            <v>1.0501474926253689</v>
          </cell>
          <cell r="DW21">
            <v>0.97269728955473456</v>
          </cell>
          <cell r="DX21">
            <v>-1.4815053347415766E-3</v>
          </cell>
          <cell r="DY21">
            <v>-1.3238335688661946E-3</v>
          </cell>
          <cell r="DZ21">
            <v>5.6743741804302186</v>
          </cell>
          <cell r="EA21">
            <v>1</v>
          </cell>
        </row>
        <row r="22">
          <cell r="M22">
            <v>8.0600000000000005E-2</v>
          </cell>
          <cell r="Z22" t="str">
            <v xml:space="preserve">    Bus</v>
          </cell>
          <cell r="AA22" t="b">
            <v>0</v>
          </cell>
          <cell r="CX22">
            <v>225</v>
          </cell>
          <cell r="CY22">
            <v>650</v>
          </cell>
          <cell r="CZ22">
            <v>750</v>
          </cell>
          <cell r="DA22">
            <v>750</v>
          </cell>
          <cell r="DE22">
            <v>225</v>
          </cell>
          <cell r="DF22">
            <v>1</v>
          </cell>
          <cell r="DG22">
            <v>0.94899999999999995</v>
          </cell>
          <cell r="DL22">
            <v>1.7999999999999999E-2</v>
          </cell>
          <cell r="DM22">
            <v>0.83599999999999997</v>
          </cell>
          <cell r="DN22">
            <v>0.89100000000000001</v>
          </cell>
          <cell r="DS22" t="str">
            <v>TIoth</v>
          </cell>
          <cell r="DT22">
            <v>1</v>
          </cell>
          <cell r="DU22">
            <v>1</v>
          </cell>
          <cell r="DV22">
            <v>1.0154639175257731</v>
          </cell>
          <cell r="DW22">
            <v>0.96913081774301524</v>
          </cell>
          <cell r="DX22">
            <v>-0.11026585870451545</v>
          </cell>
          <cell r="DY22">
            <v>-0.11872704768355995</v>
          </cell>
          <cell r="DZ22">
            <v>-0.35180024680500832</v>
          </cell>
          <cell r="EA22">
            <v>1</v>
          </cell>
        </row>
        <row r="23">
          <cell r="Z23" t="str">
            <v xml:space="preserve">    Hwy-Rail Grade Crossing</v>
          </cell>
          <cell r="AA23" t="b">
            <v>0</v>
          </cell>
          <cell r="CX23">
            <v>250</v>
          </cell>
          <cell r="CY23">
            <v>750</v>
          </cell>
          <cell r="CZ23">
            <v>750</v>
          </cell>
          <cell r="DA23">
            <v>750</v>
          </cell>
          <cell r="DE23">
            <v>250</v>
          </cell>
          <cell r="DF23">
            <v>1</v>
          </cell>
          <cell r="DG23">
            <v>0.91900000000000004</v>
          </cell>
          <cell r="DL23">
            <v>0.02</v>
          </cell>
          <cell r="DM23">
            <v>0.78900000000000003</v>
          </cell>
          <cell r="DN23">
            <v>0.879</v>
          </cell>
          <cell r="DS23" t="str">
            <v>TIsev</v>
          </cell>
          <cell r="DT23">
            <v>1</v>
          </cell>
          <cell r="DU23">
            <v>1</v>
          </cell>
          <cell r="DV23">
            <v>1.0058997050147493</v>
          </cell>
          <cell r="DW23">
            <v>0.97183048805227856</v>
          </cell>
          <cell r="DX23">
            <v>-0.39122572597877792</v>
          </cell>
          <cell r="DY23">
            <v>-0.39160228819315196</v>
          </cell>
          <cell r="DZ23">
            <v>-0.35180024680500832</v>
          </cell>
          <cell r="EA23">
            <v>1</v>
          </cell>
        </row>
        <row r="24">
          <cell r="M24">
            <v>365</v>
          </cell>
          <cell r="CX24">
            <v>275</v>
          </cell>
          <cell r="CY24">
            <v>750</v>
          </cell>
          <cell r="CZ24">
            <v>750</v>
          </cell>
          <cell r="DA24">
            <v>750</v>
          </cell>
          <cell r="DE24">
            <v>275</v>
          </cell>
          <cell r="DF24">
            <v>0.99099999999999999</v>
          </cell>
          <cell r="DG24">
            <v>0.89</v>
          </cell>
          <cell r="DL24">
            <v>2.1999999999999999E-2</v>
          </cell>
          <cell r="DM24">
            <v>0.747</v>
          </cell>
          <cell r="DN24">
            <v>0.86699999999999999</v>
          </cell>
        </row>
        <row r="25">
          <cell r="Z25" t="str">
            <v>Hwy Operational Improvement</v>
          </cell>
          <cell r="CX25">
            <v>300</v>
          </cell>
          <cell r="CY25">
            <v>750</v>
          </cell>
          <cell r="CZ25">
            <v>750</v>
          </cell>
          <cell r="DA25">
            <v>750</v>
          </cell>
          <cell r="DE25">
            <v>300</v>
          </cell>
          <cell r="DF25">
            <v>0.98099999999999998</v>
          </cell>
          <cell r="DG25">
            <v>0.86199999999999999</v>
          </cell>
          <cell r="DL25">
            <v>2.4E-2</v>
          </cell>
          <cell r="DM25">
            <v>0.70599999999999996</v>
          </cell>
          <cell r="DN25">
            <v>0.85499999999999998</v>
          </cell>
        </row>
        <row r="26">
          <cell r="Z26" t="str">
            <v xml:space="preserve">    Auxiliary Lane</v>
          </cell>
          <cell r="AA26" t="b">
            <v>0</v>
          </cell>
          <cell r="CX26">
            <v>325</v>
          </cell>
          <cell r="CY26">
            <v>750</v>
          </cell>
          <cell r="CZ26">
            <v>750</v>
          </cell>
          <cell r="DA26">
            <v>750</v>
          </cell>
          <cell r="DE26">
            <v>325</v>
          </cell>
          <cell r="DF26">
            <v>0.97099999999999997</v>
          </cell>
          <cell r="DG26">
            <v>0.83399999999999996</v>
          </cell>
          <cell r="DL26">
            <v>2.5999999999999999E-2</v>
          </cell>
          <cell r="DM26">
            <v>0.66400000000000003</v>
          </cell>
          <cell r="DN26">
            <v>0.84199999999999997</v>
          </cell>
        </row>
        <row r="27">
          <cell r="Z27" t="str">
            <v xml:space="preserve">    Freeway Connector</v>
          </cell>
          <cell r="AA27" t="b">
            <v>0</v>
          </cell>
          <cell r="CX27">
            <v>350</v>
          </cell>
          <cell r="CY27">
            <v>750</v>
          </cell>
          <cell r="CZ27">
            <v>750</v>
          </cell>
          <cell r="DA27">
            <v>750</v>
          </cell>
          <cell r="DE27">
            <v>350</v>
          </cell>
          <cell r="DF27">
            <v>0.96099999999999997</v>
          </cell>
          <cell r="DG27">
            <v>0.80800000000000005</v>
          </cell>
          <cell r="DL27">
            <v>2.8000000000000001E-2</v>
          </cell>
          <cell r="DM27">
            <v>0.623</v>
          </cell>
          <cell r="DN27">
            <v>0.81699999999999995</v>
          </cell>
        </row>
        <row r="28">
          <cell r="O28">
            <v>1800</v>
          </cell>
          <cell r="Z28" t="str">
            <v xml:space="preserve">    HOV Connector</v>
          </cell>
          <cell r="AA28" t="b">
            <v>0</v>
          </cell>
          <cell r="CX28">
            <v>375</v>
          </cell>
          <cell r="CY28">
            <v>750</v>
          </cell>
          <cell r="CZ28">
            <v>750</v>
          </cell>
          <cell r="DA28">
            <v>750</v>
          </cell>
          <cell r="DE28">
            <v>375</v>
          </cell>
          <cell r="DF28">
            <v>0.95199999999999996</v>
          </cell>
          <cell r="DG28">
            <v>0.78200000000000003</v>
          </cell>
          <cell r="DL28">
            <v>0.03</v>
          </cell>
          <cell r="DM28">
            <v>0.58099999999999996</v>
          </cell>
          <cell r="DN28">
            <v>0.78900000000000003</v>
          </cell>
        </row>
        <row r="29">
          <cell r="O29">
            <v>1800</v>
          </cell>
          <cell r="Z29" t="str">
            <v xml:space="preserve">    HOV Drop Ramp</v>
          </cell>
          <cell r="AA29" t="b">
            <v>0</v>
          </cell>
          <cell r="CX29">
            <v>400</v>
          </cell>
          <cell r="CY29">
            <v>750</v>
          </cell>
          <cell r="CZ29">
            <v>750</v>
          </cell>
          <cell r="DA29">
            <v>750</v>
          </cell>
          <cell r="DE29">
            <v>400</v>
          </cell>
          <cell r="DF29">
            <v>0.94199999999999995</v>
          </cell>
          <cell r="DG29">
            <v>0.75800000000000001</v>
          </cell>
          <cell r="DL29">
            <v>3.2000000000000001E-2</v>
          </cell>
          <cell r="DM29">
            <v>0.54</v>
          </cell>
          <cell r="DN29">
            <v>0.76100000000000001</v>
          </cell>
        </row>
        <row r="30">
          <cell r="O30">
            <v>1400</v>
          </cell>
          <cell r="Z30" t="str">
            <v xml:space="preserve">    Off-Ramp Widening</v>
          </cell>
          <cell r="AA30" t="b">
            <v>0</v>
          </cell>
          <cell r="CX30">
            <v>425</v>
          </cell>
          <cell r="CY30">
            <v>750</v>
          </cell>
          <cell r="CZ30">
            <v>750</v>
          </cell>
          <cell r="DA30">
            <v>750</v>
          </cell>
          <cell r="DE30">
            <v>425</v>
          </cell>
          <cell r="DF30">
            <v>0.93200000000000005</v>
          </cell>
          <cell r="DG30">
            <v>0.73399999999999999</v>
          </cell>
          <cell r="DL30">
            <v>3.4000000000000002E-2</v>
          </cell>
          <cell r="DM30">
            <v>0.498</v>
          </cell>
          <cell r="DN30">
            <v>0.73399999999999999</v>
          </cell>
        </row>
        <row r="31">
          <cell r="L31">
            <v>0.55000000000000004</v>
          </cell>
          <cell r="M31">
            <v>8</v>
          </cell>
          <cell r="N31">
            <v>1600</v>
          </cell>
          <cell r="Z31" t="str">
            <v xml:space="preserve">    On-Ramp Widening</v>
          </cell>
          <cell r="AA31" t="b">
            <v>0</v>
          </cell>
          <cell r="CX31">
            <v>450</v>
          </cell>
          <cell r="CY31">
            <v>750</v>
          </cell>
          <cell r="CZ31">
            <v>750</v>
          </cell>
          <cell r="DA31">
            <v>750</v>
          </cell>
          <cell r="DE31">
            <v>450</v>
          </cell>
          <cell r="DF31">
            <v>0.92300000000000004</v>
          </cell>
          <cell r="DG31">
            <v>0.70899999999999996</v>
          </cell>
          <cell r="DL31">
            <v>3.5999999999999997E-2</v>
          </cell>
          <cell r="DM31">
            <v>0.47599999999999998</v>
          </cell>
          <cell r="DN31">
            <v>0.70599999999999996</v>
          </cell>
        </row>
        <row r="32">
          <cell r="Z32" t="str">
            <v xml:space="preserve">    HOV-2 to HOV-3 Conv</v>
          </cell>
          <cell r="AA32" t="b">
            <v>0</v>
          </cell>
          <cell r="DL32">
            <v>3.7999999999999999E-2</v>
          </cell>
          <cell r="DM32">
            <v>0.47299999999999998</v>
          </cell>
          <cell r="DN32">
            <v>0.67800000000000005</v>
          </cell>
        </row>
        <row r="33">
          <cell r="Z33" t="str">
            <v xml:space="preserve">    HOT Lane Conversion</v>
          </cell>
          <cell r="DL33">
            <v>0.04</v>
          </cell>
          <cell r="DM33">
            <v>0.47099999999999997</v>
          </cell>
          <cell r="DN33">
            <v>0.65</v>
          </cell>
        </row>
        <row r="34">
          <cell r="DL34">
            <v>4.2000000000000003E-2</v>
          </cell>
          <cell r="DM34">
            <v>0.46800000000000003</v>
          </cell>
          <cell r="DN34">
            <v>0.623</v>
          </cell>
        </row>
        <row r="35">
          <cell r="L35">
            <v>0.2</v>
          </cell>
          <cell r="M35">
            <v>10</v>
          </cell>
          <cell r="N35">
            <v>2000</v>
          </cell>
          <cell r="Z35" t="str">
            <v>Transp Mgmt Systems (TMS)</v>
          </cell>
          <cell r="DL35">
            <v>4.3999999999999997E-2</v>
          </cell>
          <cell r="DM35">
            <v>0.46600000000000003</v>
          </cell>
          <cell r="DN35">
            <v>0.59499999999999997</v>
          </cell>
        </row>
        <row r="36">
          <cell r="L36">
            <v>0.2</v>
          </cell>
          <cell r="M36">
            <v>10</v>
          </cell>
          <cell r="N36">
            <v>2000</v>
          </cell>
          <cell r="Z36" t="str">
            <v xml:space="preserve">    Ramp Metering</v>
          </cell>
          <cell r="AA36" t="b">
            <v>0</v>
          </cell>
          <cell r="DL36">
            <v>4.5999999999999999E-2</v>
          </cell>
          <cell r="DM36">
            <v>0.46300000000000002</v>
          </cell>
          <cell r="DN36">
            <v>0.56699999999999995</v>
          </cell>
        </row>
        <row r="37">
          <cell r="Z37" t="str">
            <v xml:space="preserve">    Ramp Metering Signal Coord</v>
          </cell>
          <cell r="DL37">
            <v>4.8000000000000001E-2</v>
          </cell>
          <cell r="DM37">
            <v>0.46</v>
          </cell>
          <cell r="DN37">
            <v>0.54</v>
          </cell>
          <cell r="DV37">
            <v>0.15</v>
          </cell>
          <cell r="DW37">
            <v>0.02</v>
          </cell>
          <cell r="DX37">
            <v>0.08</v>
          </cell>
        </row>
        <row r="38">
          <cell r="Z38" t="str">
            <v xml:space="preserve">    Incident Management</v>
          </cell>
          <cell r="AA38" t="b">
            <v>0</v>
          </cell>
          <cell r="DL38">
            <v>0.05</v>
          </cell>
          <cell r="DM38">
            <v>0.45800000000000002</v>
          </cell>
          <cell r="DN38">
            <v>0.51200000000000001</v>
          </cell>
          <cell r="DV38">
            <v>0.1</v>
          </cell>
        </row>
        <row r="39">
          <cell r="Z39" t="str">
            <v xml:space="preserve">    Traveler Information</v>
          </cell>
          <cell r="DL39">
            <v>5.1999999999999998E-2</v>
          </cell>
          <cell r="DM39">
            <v>0.45500000000000002</v>
          </cell>
          <cell r="DN39">
            <v>0.48399999999999999</v>
          </cell>
          <cell r="DV39">
            <v>0.28999999999999998</v>
          </cell>
        </row>
        <row r="40">
          <cell r="Z40" t="str">
            <v xml:space="preserve">    Arterial Signal Management</v>
          </cell>
          <cell r="AA40" t="b">
            <v>0</v>
          </cell>
          <cell r="DL40">
            <v>5.3999999999999999E-2</v>
          </cell>
          <cell r="DM40">
            <v>0.45300000000000001</v>
          </cell>
          <cell r="DN40">
            <v>0.47599999999999998</v>
          </cell>
        </row>
        <row r="41">
          <cell r="Z41" t="str">
            <v xml:space="preserve">    Transit Vehicle Location (AVL)</v>
          </cell>
          <cell r="AA41" t="b">
            <v>0</v>
          </cell>
          <cell r="DL41">
            <v>5.6000000000000001E-2</v>
          </cell>
          <cell r="DM41">
            <v>0.45300000000000001</v>
          </cell>
          <cell r="DN41">
            <v>0.47399999999999998</v>
          </cell>
        </row>
        <row r="42">
          <cell r="Z42" t="str">
            <v xml:space="preserve">    Transit Vehicle Signal Priority</v>
          </cell>
          <cell r="AA42" t="b">
            <v>0</v>
          </cell>
          <cell r="DL42">
            <v>5.8000000000000003E-2</v>
          </cell>
          <cell r="DM42">
            <v>0.45300000000000001</v>
          </cell>
          <cell r="DN42">
            <v>0.47299999999999998</v>
          </cell>
        </row>
        <row r="43">
          <cell r="Z43" t="str">
            <v xml:space="preserve">    Bus Rapid Transit (BRT)</v>
          </cell>
          <cell r="AA43" t="b">
            <v>0</v>
          </cell>
          <cell r="DL43">
            <v>0.06</v>
          </cell>
          <cell r="DM43">
            <v>0.45300000000000001</v>
          </cell>
          <cell r="DN43">
            <v>0.47099999999999997</v>
          </cell>
        </row>
        <row r="44">
          <cell r="DL44">
            <v>6.2E-2</v>
          </cell>
          <cell r="DM44">
            <v>0.45300000000000001</v>
          </cell>
          <cell r="DN44">
            <v>0.46899999999999997</v>
          </cell>
        </row>
        <row r="45">
          <cell r="AA45" t="str">
            <v>NoAdj</v>
          </cell>
          <cell r="DL45">
            <v>6.4000000000000001E-2</v>
          </cell>
          <cell r="DM45">
            <v>0.45300000000000001</v>
          </cell>
          <cell r="DN45">
            <v>0.46700000000000003</v>
          </cell>
        </row>
        <row r="46">
          <cell r="DL46">
            <v>6.6000000000000003E-2</v>
          </cell>
          <cell r="DM46">
            <v>0.45300000000000001</v>
          </cell>
          <cell r="DN46">
            <v>0.46600000000000003</v>
          </cell>
        </row>
        <row r="47">
          <cell r="DL47">
            <v>6.8000000000000005E-2</v>
          </cell>
          <cell r="DM47">
            <v>0.45300000000000001</v>
          </cell>
          <cell r="DN47">
            <v>0.46400000000000002</v>
          </cell>
        </row>
        <row r="48">
          <cell r="DL48">
            <v>7.0000000000000007E-2</v>
          </cell>
          <cell r="DM48">
            <v>0.45300000000000001</v>
          </cell>
          <cell r="DN48">
            <v>0.46200000000000002</v>
          </cell>
        </row>
        <row r="49">
          <cell r="DL49">
            <v>7.1999999999999995E-2</v>
          </cell>
          <cell r="DM49">
            <v>0.45300000000000001</v>
          </cell>
          <cell r="DN49">
            <v>0.46</v>
          </cell>
        </row>
        <row r="50">
          <cell r="DL50">
            <v>7.3999999999999996E-2</v>
          </cell>
          <cell r="DM50">
            <v>0.45300000000000001</v>
          </cell>
          <cell r="DN50">
            <v>0.45900000000000002</v>
          </cell>
        </row>
        <row r="51">
          <cell r="BI51">
            <v>0.1176</v>
          </cell>
          <cell r="BJ51">
            <v>0.64459999999999995</v>
          </cell>
          <cell r="DL51">
            <v>7.5999999999999998E-2</v>
          </cell>
          <cell r="DM51">
            <v>0.45300000000000001</v>
          </cell>
          <cell r="DN51">
            <v>0.45700000000000002</v>
          </cell>
        </row>
        <row r="52">
          <cell r="DL52">
            <v>7.8E-2</v>
          </cell>
          <cell r="DM52">
            <v>0.45300000000000001</v>
          </cell>
          <cell r="DN52">
            <v>0.45500000000000002</v>
          </cell>
        </row>
        <row r="53">
          <cell r="DL53">
            <v>0.08</v>
          </cell>
          <cell r="DM53">
            <v>0.45300000000000001</v>
          </cell>
          <cell r="DN53">
            <v>0.45300000000000001</v>
          </cell>
        </row>
        <row r="57">
          <cell r="E57">
            <v>5</v>
          </cell>
        </row>
        <row r="64">
          <cell r="BG64">
            <v>0</v>
          </cell>
          <cell r="BH64">
            <v>0.25</v>
          </cell>
          <cell r="BI64">
            <v>0.69399999999999995</v>
          </cell>
          <cell r="BJ64">
            <v>0.92600000000000005</v>
          </cell>
        </row>
        <row r="65">
          <cell r="BG65">
            <v>5000</v>
          </cell>
          <cell r="BH65">
            <v>0.192</v>
          </cell>
          <cell r="BI65">
            <v>0.80300000000000005</v>
          </cell>
          <cell r="BJ65">
            <v>0.96499999999999997</v>
          </cell>
        </row>
        <row r="66">
          <cell r="BG66">
            <v>10000</v>
          </cell>
          <cell r="BH66">
            <v>0.84</v>
          </cell>
          <cell r="BI66">
            <v>0.57699999999999996</v>
          </cell>
          <cell r="BJ66">
            <v>0.97799999999999998</v>
          </cell>
        </row>
        <row r="77">
          <cell r="E77">
            <v>6.0000000000000001E-3</v>
          </cell>
        </row>
        <row r="78">
          <cell r="E78">
            <v>0.28999999999999998</v>
          </cell>
        </row>
        <row r="79">
          <cell r="E79">
            <v>0.55000000000000004</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nstructions"/>
      <sheetName val="Data Dictionary"/>
      <sheetName val="OPENING SCREEN"/>
      <sheetName val="TOPS-BC INFO"/>
      <sheetName val="LIST OF ALL WORKSHEETS"/>
      <sheetName val="METHOD SELECTION"/>
      <sheetName val="MethodData"/>
      <sheetName val="COST ESTIMATION"/>
      <sheetName val="Costs Template"/>
      <sheetName val="Costs Data"/>
      <sheetName val="SMD-SITA"/>
      <sheetName val="Cost Default Matrix"/>
      <sheetName val="En-Route Traveler Information"/>
      <sheetName val="RAH-SITA"/>
      <sheetName val="ATIS-HAR"/>
      <sheetName val="115-SITA"/>
      <sheetName val="Pre-Trip Traveler Information"/>
      <sheetName val="teserP-langiS"/>
      <sheetName val="TSS - Preset Timing"/>
      <sheetName val="detautcA-langiS"/>
      <sheetName val="TSS-Traffic Actuated Timing"/>
      <sheetName val="lartneC-langiS"/>
      <sheetName val="TSS - Central Control"/>
      <sheetName val="ytiroirP tisnarT"/>
      <sheetName val="Transit Signal Priority"/>
      <sheetName val="lortnoC lartneC-MR"/>
      <sheetName val="RM-Central Control"/>
      <sheetName val="detautcA-MR"/>
      <sheetName val="RM-Actuated"/>
      <sheetName val="teserP-MR"/>
      <sheetName val="RM-Preset"/>
      <sheetName val="PSF-MIT"/>
      <sheetName val="FS- Truck Only"/>
      <sheetName val="FS- Screening &amp; Credentialing"/>
      <sheetName val="FS- Parking &amp; Reservation"/>
      <sheetName val="links"/>
      <sheetName val="FS- Climbing Lanes"/>
      <sheetName val="Traffic Incident Management"/>
      <sheetName val="deepS-MDTA"/>
      <sheetName val="Active Traffic Management"/>
      <sheetName val="ATDM-Speed"/>
      <sheetName val="BE-MDT"/>
      <sheetName val="Travel Demand Management"/>
      <sheetName val="redluohS-MDTA"/>
      <sheetName val="ATDM-Shoulder"/>
      <sheetName val="TOH-MDTA"/>
      <sheetName val="HOT Lanes"/>
      <sheetName val="tmgM rehtaeW"/>
      <sheetName val="Road Weather Management"/>
      <sheetName val="enoZkroW"/>
      <sheetName val="Work Zone Management"/>
      <sheetName val="CMT-troppuS"/>
      <sheetName val="Support-TMC"/>
      <sheetName val="spooL-troppuS"/>
      <sheetName val="Support-Loops"/>
      <sheetName val="VTCC-troppuS"/>
      <sheetName val="Support-CCTV"/>
      <sheetName val="YRAMMUS STSOC"/>
      <sheetName val="COSTS SUMMARY"/>
      <sheetName val="BENEFIT ESTIMATE"/>
      <sheetName val="sretemaraP"/>
      <sheetName val="Parameters"/>
      <sheetName val="Link Characteristics"/>
      <sheetName val="deployment support"/>
      <sheetName val="desaB kniL"/>
      <sheetName val="Link Based"/>
      <sheetName val=".drooC langiS"/>
      <sheetName val="Traffic Signal Control"/>
      <sheetName val="gnireteM pmaR"/>
      <sheetName val="Ramp Metering"/>
      <sheetName val="MIT"/>
      <sheetName val="Traffic Incident Management "/>
      <sheetName val="ngiS egasseM cimanyD"/>
      <sheetName val="En- route Traveler Information"/>
      <sheetName val="oidaR yrosivdA yawhgiH"/>
      <sheetName val="Highway Advisory Radio"/>
      <sheetName val="ofnI pirT erP"/>
      <sheetName val="Pre- trip Traveler Information"/>
      <sheetName val="redluohS draH"/>
      <sheetName val="FS - Truck Only"/>
      <sheetName val="FS - Screening"/>
      <sheetName val="FS - Parking &amp; Reservation"/>
      <sheetName val="FS - Climbing Lanes"/>
      <sheetName val="ATDM General-Benefit"/>
      <sheetName val="HOT  Lanes"/>
      <sheetName val="ATM"/>
      <sheetName val="syS rehtaeW"/>
      <sheetName val="RWM"/>
      <sheetName val="enoZ kroW"/>
      <sheetName val="Work Zone"/>
      <sheetName val="deepS"/>
      <sheetName val="Speed"/>
      <sheetName val="TOH"/>
      <sheetName val="stnemyolpeD yM fo yrammuS"/>
      <sheetName val="Summary of My Deployments"/>
      <sheetName val="IMPACT LOOKUP"/>
      <sheetName val="ImpactData"/>
      <sheetName val="ImpactTemplate"/>
      <sheetName val="ATMS - Signal Coordination"/>
      <sheetName val="ATMS - Signal Priority"/>
      <sheetName val="Freeway Mgmt Syst"/>
      <sheetName val="Advanced Public Transit Syst"/>
      <sheetName val="Incident Mgmnt Syst"/>
      <sheetName val="Reg Multimodal Traveler Info"/>
      <sheetName val="Congestion Pricing"/>
      <sheetName val="Road Weather Management "/>
      <sheetName val="Work Zone Mgmnt"/>
    </sheetNames>
    <sheetDataSet>
      <sheetData sheetId="0">
        <row r="11">
          <cell r="F11">
            <v>0</v>
          </cell>
        </row>
      </sheetData>
      <sheetData sheetId="1"/>
      <sheetData sheetId="2"/>
      <sheetData sheetId="3">
        <row r="24">
          <cell r="B24" t="str">
            <v>FHWA Tool for Operations Benefit/Cost (TOPS-BC):  Version 2.0</v>
          </cell>
        </row>
      </sheetData>
      <sheetData sheetId="4"/>
      <sheetData sheetId="5"/>
      <sheetData sheetId="6"/>
      <sheetData sheetId="7"/>
      <sheetData sheetId="8"/>
      <sheetData sheetId="9">
        <row r="12">
          <cell r="I12" t="str">
            <v>Basic Infrastructure Equipment and Costs</v>
          </cell>
        </row>
        <row r="48">
          <cell r="I48" t="str">
            <v>Incremental Deployment Equipment</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8">
          <cell r="AN8">
            <v>25.2</v>
          </cell>
        </row>
        <row r="9">
          <cell r="AN9">
            <v>18.8</v>
          </cell>
        </row>
        <row r="10">
          <cell r="W10">
            <v>25</v>
          </cell>
        </row>
        <row r="11">
          <cell r="W11">
            <v>13</v>
          </cell>
          <cell r="AP11">
            <v>1</v>
          </cell>
          <cell r="AQ11">
            <v>5.0000000745057997E-2</v>
          </cell>
          <cell r="AR11">
            <v>3.4378498270370897E-8</v>
          </cell>
          <cell r="AS11">
            <v>1.4375299839386399E-9</v>
          </cell>
          <cell r="AT11">
            <v>4.3918900634320999E-12</v>
          </cell>
        </row>
        <row r="12">
          <cell r="P12">
            <v>1</v>
          </cell>
          <cell r="W12">
            <v>27</v>
          </cell>
          <cell r="AP12">
            <v>0</v>
          </cell>
          <cell r="AQ12">
            <v>0.10000000149011599</v>
          </cell>
          <cell r="AR12">
            <v>5.2400400818442005E-7</v>
          </cell>
          <cell r="AS12">
            <v>4.6320998592364002E-8</v>
          </cell>
          <cell r="AT12">
            <v>5.8198701413658599E-10</v>
          </cell>
        </row>
        <row r="13">
          <cell r="AP13">
            <v>0</v>
          </cell>
          <cell r="AQ13">
            <v>0.15000000596046401</v>
          </cell>
          <cell r="AR13">
            <v>2.57854003393731E-6</v>
          </cell>
          <cell r="AS13">
            <v>3.5318001323503199E-7</v>
          </cell>
          <cell r="AT13">
            <v>1.0147400253401799E-8</v>
          </cell>
        </row>
        <row r="14">
          <cell r="W14">
            <v>25</v>
          </cell>
          <cell r="AP14">
            <v>0</v>
          </cell>
          <cell r="AQ14">
            <v>0.20000000298023199</v>
          </cell>
          <cell r="AR14">
            <v>7.9869796536513604E-6</v>
          </cell>
          <cell r="AS14">
            <v>1.4925800542187001E-6</v>
          </cell>
          <cell r="AT14">
            <v>7.7121399044699501E-8</v>
          </cell>
        </row>
        <row r="15">
          <cell r="P15">
            <v>250</v>
          </cell>
          <cell r="W15">
            <v>13</v>
          </cell>
          <cell r="AP15">
            <v>0</v>
          </cell>
          <cell r="AQ15">
            <v>0.25</v>
          </cell>
          <cell r="AR15">
            <v>1.9197299479856102E-5</v>
          </cell>
          <cell r="AS15">
            <v>4.5651800064660998E-6</v>
          </cell>
          <cell r="AT15">
            <v>3.7186899248808898E-7</v>
          </cell>
        </row>
        <row r="16">
          <cell r="W16">
            <v>27</v>
          </cell>
          <cell r="AP16">
            <v>0</v>
          </cell>
          <cell r="AQ16">
            <v>0.30000001192092901</v>
          </cell>
          <cell r="AR16">
            <v>3.9302598452195498E-5</v>
          </cell>
          <cell r="AS16">
            <v>1.1380399882909799E-5</v>
          </cell>
          <cell r="AT16">
            <v>1.3446799584926301E-6</v>
          </cell>
        </row>
        <row r="17">
          <cell r="AP17">
            <v>0</v>
          </cell>
          <cell r="AQ17">
            <v>0.34999999403953502</v>
          </cell>
          <cell r="AR17">
            <v>7.2031500167213299E-5</v>
          </cell>
          <cell r="AS17">
            <v>2.46353993134107E-5</v>
          </cell>
          <cell r="AT17">
            <v>3.9865099097369196E-6</v>
          </cell>
        </row>
        <row r="18">
          <cell r="AP18">
            <v>0</v>
          </cell>
          <cell r="AQ18">
            <v>0.40000000596046398</v>
          </cell>
          <cell r="AR18">
            <v>1.21739998576231E-4</v>
          </cell>
          <cell r="AS18">
            <v>4.8094898374984E-5</v>
          </cell>
          <cell r="AT18">
            <v>1.02195999716059E-5</v>
          </cell>
        </row>
        <row r="19">
          <cell r="W19">
            <v>9600000</v>
          </cell>
          <cell r="AP19">
            <v>0</v>
          </cell>
          <cell r="AQ19">
            <v>0.44999998807907099</v>
          </cell>
          <cell r="AR19">
            <v>1.9340700237080401E-4</v>
          </cell>
          <cell r="AS19">
            <v>8.6770902271382497E-5</v>
          </cell>
          <cell r="AT19">
            <v>2.34456001635408E-5</v>
          </cell>
        </row>
        <row r="20">
          <cell r="W20">
            <v>67000</v>
          </cell>
          <cell r="AP20">
            <v>0</v>
          </cell>
          <cell r="AQ20">
            <v>0.5</v>
          </cell>
          <cell r="AR20">
            <v>2.9264501063153099E-4</v>
          </cell>
          <cell r="AS20">
            <v>1.4710400137119001E-4</v>
          </cell>
          <cell r="AT20">
            <v>4.9277801736025099E-5</v>
          </cell>
        </row>
        <row r="21">
          <cell r="P21">
            <v>0.1</v>
          </cell>
          <cell r="W21">
            <v>4200</v>
          </cell>
          <cell r="AP21">
            <v>0</v>
          </cell>
          <cell r="AQ21">
            <v>0.55000001192092896</v>
          </cell>
          <cell r="AR21">
            <v>4.2577399290166801E-4</v>
          </cell>
          <cell r="AS21">
            <v>2.37155007198453E-4</v>
          </cell>
          <cell r="AT21">
            <v>9.6487303380854401E-5</v>
          </cell>
        </row>
        <row r="22">
          <cell r="P22">
            <v>0.2</v>
          </cell>
          <cell r="AP22">
            <v>0</v>
          </cell>
          <cell r="AQ22">
            <v>0.60000002384185702</v>
          </cell>
          <cell r="AR22">
            <v>6.0015200870111498E-4</v>
          </cell>
          <cell r="AS22">
            <v>3.6684799124486701E-4</v>
          </cell>
          <cell r="AT22">
            <v>1.7818900232668901E-4</v>
          </cell>
        </row>
        <row r="23">
          <cell r="P23">
            <v>1.67</v>
          </cell>
          <cell r="AP23">
            <v>0</v>
          </cell>
          <cell r="AQ23">
            <v>0.64999997615814198</v>
          </cell>
          <cell r="AR23">
            <v>8.2539697177708095E-4</v>
          </cell>
          <cell r="AS23">
            <v>5.4846797138452497E-4</v>
          </cell>
          <cell r="AT23">
            <v>3.1330098863690999E-4</v>
          </cell>
        </row>
        <row r="24">
          <cell r="W24">
            <v>3.67</v>
          </cell>
          <cell r="AP24">
            <v>0</v>
          </cell>
          <cell r="AQ24">
            <v>0.69999998807907104</v>
          </cell>
          <cell r="AR24">
            <v>1.1174599640071301E-3</v>
          </cell>
          <cell r="AS24">
            <v>7.9827697481960004E-4</v>
          </cell>
          <cell r="AT24">
            <v>5.2834302186965899E-4</v>
          </cell>
        </row>
        <row r="25">
          <cell r="AP25">
            <v>0</v>
          </cell>
          <cell r="AQ25">
            <v>0.75</v>
          </cell>
          <cell r="AR25">
            <v>1.5108600491657799E-3</v>
          </cell>
          <cell r="AS25">
            <v>1.1423700489103701E-3</v>
          </cell>
          <cell r="AT25">
            <v>8.5988797945901697E-4</v>
          </cell>
        </row>
        <row r="26">
          <cell r="P26">
            <v>7.0000000000000007E-2</v>
          </cell>
          <cell r="AP26">
            <v>0</v>
          </cell>
          <cell r="AQ26">
            <v>0.80000001192092896</v>
          </cell>
          <cell r="AR26">
            <v>2.0928799640387301E-3</v>
          </cell>
          <cell r="AS26">
            <v>1.6373799880966501E-3</v>
          </cell>
          <cell r="AT26">
            <v>1.35971000418067E-3</v>
          </cell>
        </row>
        <row r="27">
          <cell r="AP27">
            <v>0</v>
          </cell>
          <cell r="AQ27">
            <v>0.85000002384185702</v>
          </cell>
          <cell r="AR27">
            <v>3.09209991246461E-3</v>
          </cell>
          <cell r="AS27">
            <v>2.4384700227528802E-3</v>
          </cell>
          <cell r="AT27">
            <v>2.11483007296919E-3</v>
          </cell>
        </row>
        <row r="28">
          <cell r="AP28">
            <v>0</v>
          </cell>
          <cell r="AQ28">
            <v>0.89999997615814198</v>
          </cell>
          <cell r="AR28">
            <v>5.0949798896908699E-3</v>
          </cell>
          <cell r="AS28">
            <v>4.0077199228107903E-3</v>
          </cell>
          <cell r="AT28">
            <v>3.3482699654996399E-3</v>
          </cell>
        </row>
        <row r="29">
          <cell r="AP29">
            <v>0</v>
          </cell>
          <cell r="AQ29">
            <v>0.94999998807907104</v>
          </cell>
          <cell r="AR29">
            <v>9.5471199601888605E-3</v>
          </cell>
          <cell r="AS29">
            <v>7.7119697816669898E-3</v>
          </cell>
          <cell r="AT29">
            <v>5.9221801348030498E-3</v>
          </cell>
        </row>
        <row r="30">
          <cell r="AP30">
            <v>0</v>
          </cell>
          <cell r="AQ30">
            <v>1</v>
          </cell>
          <cell r="AR30">
            <v>1.9859999418258601E-2</v>
          </cell>
          <cell r="AS30">
            <v>1.7440000548958699E-2</v>
          </cell>
          <cell r="AT30">
            <v>1.36799998581409E-2</v>
          </cell>
        </row>
        <row r="31">
          <cell r="AP31">
            <v>2</v>
          </cell>
          <cell r="AQ31">
            <v>0.10000000149011599</v>
          </cell>
          <cell r="AR31">
            <v>3.5302299750128401E-8</v>
          </cell>
          <cell r="AS31">
            <v>1.49765000401203E-9</v>
          </cell>
          <cell r="AT31">
            <v>4.7395498983804303E-12</v>
          </cell>
        </row>
        <row r="32">
          <cell r="AP32">
            <v>0</v>
          </cell>
          <cell r="AQ32">
            <v>0.20000000298023199</v>
          </cell>
          <cell r="AR32">
            <v>5.3808400934940405E-7</v>
          </cell>
          <cell r="AS32">
            <v>4.82582009908583E-8</v>
          </cell>
          <cell r="AT32">
            <v>6.2805699529988601E-10</v>
          </cell>
        </row>
        <row r="33">
          <cell r="AP33">
            <v>0</v>
          </cell>
          <cell r="AQ33">
            <v>0.30000001192092901</v>
          </cell>
          <cell r="AR33">
            <v>2.6478201107238398E-6</v>
          </cell>
          <cell r="AS33">
            <v>3.6794901348002901E-7</v>
          </cell>
          <cell r="AT33">
            <v>1.09506999024233E-8</v>
          </cell>
        </row>
        <row r="34">
          <cell r="AP34">
            <v>0</v>
          </cell>
          <cell r="AQ34">
            <v>0.40000000596046398</v>
          </cell>
          <cell r="AR34">
            <v>8.2015903899446096E-6</v>
          </cell>
          <cell r="AS34">
            <v>1.5550000398434301E-6</v>
          </cell>
          <cell r="AT34">
            <v>8.3226197489238905E-8</v>
          </cell>
        </row>
        <row r="35">
          <cell r="AP35">
            <v>0</v>
          </cell>
          <cell r="AQ35">
            <v>0.5</v>
          </cell>
          <cell r="AR35">
            <v>1.9713099391083199E-5</v>
          </cell>
          <cell r="AS35">
            <v>4.7560902203258499E-6</v>
          </cell>
          <cell r="AT35">
            <v>4.0130601064447499E-7</v>
          </cell>
        </row>
        <row r="36">
          <cell r="AP36">
            <v>0</v>
          </cell>
          <cell r="AQ36">
            <v>0.60000002384185702</v>
          </cell>
          <cell r="AR36">
            <v>4.0358700061915402E-5</v>
          </cell>
          <cell r="AS36">
            <v>1.18563002615701E-5</v>
          </cell>
          <cell r="AT36">
            <v>1.4511200561173601E-6</v>
          </cell>
        </row>
        <row r="37">
          <cell r="AP37">
            <v>0</v>
          </cell>
          <cell r="AQ37">
            <v>0.69999998807907104</v>
          </cell>
          <cell r="AR37">
            <v>7.3966999480035102E-5</v>
          </cell>
          <cell r="AS37">
            <v>2.5665600333013501E-5</v>
          </cell>
          <cell r="AT37">
            <v>4.3020800148951804E-6</v>
          </cell>
        </row>
        <row r="38">
          <cell r="AP38">
            <v>0</v>
          </cell>
          <cell r="AQ38">
            <v>0.80000001192092896</v>
          </cell>
          <cell r="AR38">
            <v>1.25011007185094E-4</v>
          </cell>
          <cell r="AS38">
            <v>5.0106198614230298E-5</v>
          </cell>
          <cell r="AT38">
            <v>1.10286000563064E-5</v>
          </cell>
        </row>
        <row r="39">
          <cell r="AP39">
            <v>0</v>
          </cell>
          <cell r="AQ39">
            <v>0.89999997615814198</v>
          </cell>
          <cell r="AR39">
            <v>1.9860599422827301E-4</v>
          </cell>
          <cell r="AS39">
            <v>9.0399902546778294E-5</v>
          </cell>
          <cell r="AT39">
            <v>2.5301500500063398E-5</v>
          </cell>
        </row>
        <row r="40">
          <cell r="AP40">
            <v>0</v>
          </cell>
          <cell r="AQ40">
            <v>1</v>
          </cell>
          <cell r="AR40">
            <v>3.0052699730731498E-4</v>
          </cell>
          <cell r="AS40">
            <v>1.53258006321266E-4</v>
          </cell>
          <cell r="AT40">
            <v>5.3178700909484103E-5</v>
          </cell>
        </row>
        <row r="41">
          <cell r="AP41">
            <v>0</v>
          </cell>
          <cell r="AQ41">
            <v>1.1000000238418499</v>
          </cell>
          <cell r="AR41">
            <v>4.3732600170187598E-4</v>
          </cell>
          <cell r="AS41">
            <v>2.4708898854441897E-4</v>
          </cell>
          <cell r="AT41">
            <v>1.0412499977974199E-4</v>
          </cell>
        </row>
        <row r="42">
          <cell r="AP42">
            <v>0</v>
          </cell>
          <cell r="AQ42">
            <v>1.20000004768371</v>
          </cell>
          <cell r="AR42">
            <v>6.16846024058759E-4</v>
          </cell>
          <cell r="AS42">
            <v>3.8229700294323201E-4</v>
          </cell>
          <cell r="AT42">
            <v>1.9229500321671299E-4</v>
          </cell>
        </row>
        <row r="43">
          <cell r="AP43">
            <v>0</v>
          </cell>
          <cell r="AQ43">
            <v>1.29999995231628</v>
          </cell>
          <cell r="AR43">
            <v>8.5011200280860001E-4</v>
          </cell>
          <cell r="AS43">
            <v>5.7204801123589201E-4</v>
          </cell>
          <cell r="AT43">
            <v>3.3811401226557699E-4</v>
          </cell>
        </row>
        <row r="44">
          <cell r="AP44">
            <v>0</v>
          </cell>
          <cell r="AQ44">
            <v>1.3999999761581401</v>
          </cell>
          <cell r="AR44">
            <v>1.1576199904084199E-3</v>
          </cell>
          <cell r="AS44">
            <v>8.3501602057367498E-4</v>
          </cell>
          <cell r="AT44">
            <v>5.7029601885005799E-4</v>
          </cell>
        </row>
        <row r="45">
          <cell r="AP45">
            <v>0</v>
          </cell>
          <cell r="AQ45">
            <v>1.5</v>
          </cell>
          <cell r="AR45">
            <v>1.5882999869063501E-3</v>
          </cell>
          <cell r="AS45">
            <v>1.2057799613103199E-3</v>
          </cell>
          <cell r="AT45">
            <v>9.2915201094001499E-4</v>
          </cell>
        </row>
        <row r="46">
          <cell r="AP46">
            <v>0</v>
          </cell>
          <cell r="AQ46">
            <v>1.6000000238418499</v>
          </cell>
          <cell r="AR46">
            <v>2.2722599096596202E-3</v>
          </cell>
          <cell r="AS46">
            <v>1.77176995202899E-3</v>
          </cell>
          <cell r="AT46">
            <v>1.4768800465389999E-3</v>
          </cell>
        </row>
        <row r="47">
          <cell r="AP47">
            <v>0</v>
          </cell>
          <cell r="AQ47">
            <v>1.70000004768371</v>
          </cell>
          <cell r="AR47">
            <v>3.5578000824898399E-3</v>
          </cell>
          <cell r="AS47">
            <v>2.7951800730079399E-3</v>
          </cell>
          <cell r="AT47">
            <v>2.3492099717259398E-3</v>
          </cell>
        </row>
        <row r="48">
          <cell r="AP48">
            <v>0</v>
          </cell>
          <cell r="AQ48">
            <v>1.79999995231628</v>
          </cell>
          <cell r="AR48">
            <v>6.3460902310907797E-3</v>
          </cell>
          <cell r="AS48">
            <v>5.0866100937127998E-3</v>
          </cell>
          <cell r="AT48">
            <v>4.0342002175748296E-3</v>
          </cell>
        </row>
        <row r="49">
          <cell r="AP49">
            <v>0</v>
          </cell>
          <cell r="AQ49">
            <v>1.8999999761581401</v>
          </cell>
          <cell r="AR49">
            <v>1.2865999713539999E-2</v>
          </cell>
          <cell r="AS49">
            <v>1.10772997140884E-2</v>
          </cell>
          <cell r="AT49">
            <v>8.7860198691487295E-3</v>
          </cell>
        </row>
        <row r="50">
          <cell r="AP50">
            <v>0</v>
          </cell>
          <cell r="AQ50">
            <v>2</v>
          </cell>
          <cell r="AR50">
            <v>1.9859999418258601E-2</v>
          </cell>
          <cell r="AS50">
            <v>1.7440000548958699E-2</v>
          </cell>
          <cell r="AT50">
            <v>1.36799998581409E-2</v>
          </cell>
        </row>
        <row r="51">
          <cell r="AP51">
            <v>3</v>
          </cell>
          <cell r="AQ51">
            <v>0.15000000596046401</v>
          </cell>
          <cell r="AR51">
            <v>3.7135500008389499E-8</v>
          </cell>
          <cell r="AS51">
            <v>1.61786994912205E-9</v>
          </cell>
          <cell r="AT51">
            <v>5.4500202094354101E-12</v>
          </cell>
        </row>
        <row r="52">
          <cell r="AP52">
            <v>0</v>
          </cell>
          <cell r="AQ52">
            <v>0.30000001192092901</v>
          </cell>
          <cell r="AR52">
            <v>5.6602698350616202E-7</v>
          </cell>
          <cell r="AS52">
            <v>5.2131998273807701E-8</v>
          </cell>
          <cell r="AT52">
            <v>7.2220401881040103E-10</v>
          </cell>
        </row>
        <row r="53">
          <cell r="AP53">
            <v>0</v>
          </cell>
          <cell r="AQ53">
            <v>0.44999998807907099</v>
          </cell>
          <cell r="AR53">
            <v>2.7853300252900201E-6</v>
          </cell>
          <cell r="AS53">
            <v>3.9748599078848201E-7</v>
          </cell>
          <cell r="AT53">
            <v>1.25922001714684E-8</v>
          </cell>
        </row>
        <row r="54">
          <cell r="AP54">
            <v>0</v>
          </cell>
          <cell r="AQ54">
            <v>0.60000002384185702</v>
          </cell>
          <cell r="AR54">
            <v>8.6275103967636807E-6</v>
          </cell>
          <cell r="AS54">
            <v>1.6798300066511699E-6</v>
          </cell>
          <cell r="AT54">
            <v>9.5701999214270406E-8</v>
          </cell>
        </row>
        <row r="55">
          <cell r="AP55">
            <v>0</v>
          </cell>
          <cell r="AQ55">
            <v>0.75</v>
          </cell>
          <cell r="AR55">
            <v>2.07367993425577E-5</v>
          </cell>
          <cell r="AS55">
            <v>5.1378801799728501E-6</v>
          </cell>
          <cell r="AT55">
            <v>4.6146300292093598E-7</v>
          </cell>
        </row>
        <row r="56">
          <cell r="AP56">
            <v>0</v>
          </cell>
          <cell r="AQ56">
            <v>0.89999997615814198</v>
          </cell>
          <cell r="AR56">
            <v>4.24544996349141E-5</v>
          </cell>
          <cell r="AS56">
            <v>1.2808000064978799E-5</v>
          </cell>
          <cell r="AT56">
            <v>1.6686500430296201E-6</v>
          </cell>
        </row>
        <row r="57">
          <cell r="AP57">
            <v>0</v>
          </cell>
          <cell r="AQ57">
            <v>1.04999995231628</v>
          </cell>
          <cell r="AR57">
            <v>7.7808203059248599E-5</v>
          </cell>
          <cell r="AS57">
            <v>2.7725900508812602E-5</v>
          </cell>
          <cell r="AT57">
            <v>4.9469699661131E-6</v>
          </cell>
        </row>
        <row r="58">
          <cell r="AP58">
            <v>0</v>
          </cell>
          <cell r="AQ58">
            <v>1.20000004768371</v>
          </cell>
          <cell r="AR58">
            <v>1.3150399900041499E-4</v>
          </cell>
          <cell r="AS58">
            <v>5.4128398915054202E-5</v>
          </cell>
          <cell r="AT58">
            <v>1.26819004435674E-5</v>
          </cell>
        </row>
        <row r="59">
          <cell r="AP59">
            <v>0</v>
          </cell>
          <cell r="AQ59">
            <v>1.3500000238418499</v>
          </cell>
          <cell r="AR59">
            <v>2.08926998311653E-4</v>
          </cell>
          <cell r="AS59">
            <v>9.7657102742232301E-5</v>
          </cell>
          <cell r="AT59">
            <v>2.90943007712485E-5</v>
          </cell>
        </row>
        <row r="60">
          <cell r="AP60">
            <v>0</v>
          </cell>
          <cell r="AQ60">
            <v>1.5</v>
          </cell>
          <cell r="AR60">
            <v>3.1618401408195501E-4</v>
          </cell>
          <cell r="AS60">
            <v>1.6556600166950299E-4</v>
          </cell>
          <cell r="AT60">
            <v>6.1150298279244399E-5</v>
          </cell>
        </row>
        <row r="61">
          <cell r="AP61">
            <v>0</v>
          </cell>
          <cell r="AQ61">
            <v>1.6499999761581401</v>
          </cell>
          <cell r="AR61">
            <v>4.6033700346015302E-4</v>
          </cell>
          <cell r="AS61">
            <v>2.6697100838646201E-4</v>
          </cell>
          <cell r="AT61">
            <v>1.19734002510085E-4</v>
          </cell>
        </row>
        <row r="62">
          <cell r="AP62">
            <v>0</v>
          </cell>
          <cell r="AQ62">
            <v>1.79999995231628</v>
          </cell>
          <cell r="AR62">
            <v>6.5040698973461996E-4</v>
          </cell>
          <cell r="AS62">
            <v>4.1331499232910498E-4</v>
          </cell>
          <cell r="AT62">
            <v>2.2112499573267999E-4</v>
          </cell>
        </row>
        <row r="63">
          <cell r="AP63">
            <v>0</v>
          </cell>
          <cell r="AQ63">
            <v>1.95000004768371</v>
          </cell>
          <cell r="AR63">
            <v>9.0108200674876495E-4</v>
          </cell>
          <cell r="AS63">
            <v>6.1993201961740797E-4</v>
          </cell>
          <cell r="AT63">
            <v>3.8885298999957702E-4</v>
          </cell>
        </row>
        <row r="64">
          <cell r="AP64">
            <v>0</v>
          </cell>
          <cell r="AQ64">
            <v>2.0999999046325599</v>
          </cell>
          <cell r="AR64">
            <v>1.2450199574232099E-3</v>
          </cell>
          <cell r="AS64">
            <v>9.12301009520888E-4</v>
          </cell>
          <cell r="AT64">
            <v>6.5638602245598999E-4</v>
          </cell>
        </row>
        <row r="65">
          <cell r="AP65">
            <v>0</v>
          </cell>
          <cell r="AQ65">
            <v>2.25</v>
          </cell>
          <cell r="AR65">
            <v>1.7698999727144801E-3</v>
          </cell>
          <cell r="AS65">
            <v>1.35033996775746E-3</v>
          </cell>
          <cell r="AT65">
            <v>1.0739599820226401E-3</v>
          </cell>
        </row>
        <row r="66">
          <cell r="AP66">
            <v>0</v>
          </cell>
          <cell r="AQ66">
            <v>2.4000000953674299</v>
          </cell>
          <cell r="AR66">
            <v>2.7216400485485701E-3</v>
          </cell>
          <cell r="AS66">
            <v>2.1154501009732398E-3</v>
          </cell>
          <cell r="AT66">
            <v>1.74234004225581E-3</v>
          </cell>
        </row>
        <row r="67">
          <cell r="AP67">
            <v>0</v>
          </cell>
          <cell r="AQ67">
            <v>2.5499999523162802</v>
          </cell>
          <cell r="AR67">
            <v>4.77219000458717E-3</v>
          </cell>
          <cell r="AS67">
            <v>3.7981700152158698E-3</v>
          </cell>
          <cell r="AT67">
            <v>3.0110799707472298E-3</v>
          </cell>
        </row>
        <row r="68">
          <cell r="AP68">
            <v>0</v>
          </cell>
          <cell r="AQ68">
            <v>2.70000004768371</v>
          </cell>
          <cell r="AR68">
            <v>9.67399962246418E-3</v>
          </cell>
          <cell r="AS68">
            <v>8.2803200930356893E-3</v>
          </cell>
          <cell r="AT68">
            <v>6.5856399014592101E-3</v>
          </cell>
        </row>
        <row r="69">
          <cell r="AP69">
            <v>0</v>
          </cell>
          <cell r="AQ69">
            <v>2.8499999046325599</v>
          </cell>
          <cell r="AR69">
            <v>1.48590002208948E-2</v>
          </cell>
          <cell r="AS69">
            <v>1.29658998921513E-2</v>
          </cell>
          <cell r="AT69">
            <v>1.02306995540857E-2</v>
          </cell>
        </row>
        <row r="70">
          <cell r="AP70">
            <v>0</v>
          </cell>
          <cell r="AQ70">
            <v>3</v>
          </cell>
          <cell r="AR70">
            <v>1.9859999418258601E-2</v>
          </cell>
          <cell r="AS70">
            <v>1.7440000548958699E-2</v>
          </cell>
          <cell r="AT70">
            <v>1.36799998581409E-2</v>
          </cell>
        </row>
        <row r="71">
          <cell r="AP71" t="str">
            <v>4+</v>
          </cell>
          <cell r="AQ71">
            <v>0.20000000298023199</v>
          </cell>
          <cell r="AR71">
            <v>4.2178299963779798E-8</v>
          </cell>
          <cell r="AS71">
            <v>1.9484500679567402E-9</v>
          </cell>
          <cell r="AT71">
            <v>7.4387102380612999E-12</v>
          </cell>
        </row>
        <row r="72">
          <cell r="AP72">
            <v>0</v>
          </cell>
          <cell r="AQ72">
            <v>0.40000000596046398</v>
          </cell>
          <cell r="AR72">
            <v>6.4289099555025999E-7</v>
          </cell>
          <cell r="AS72">
            <v>6.2783897192275604E-8</v>
          </cell>
          <cell r="AT72">
            <v>9.8573305074012296E-10</v>
          </cell>
        </row>
        <row r="73">
          <cell r="AP73">
            <v>0</v>
          </cell>
          <cell r="AQ73">
            <v>0.60000002384185702</v>
          </cell>
          <cell r="AR73">
            <v>3.1635599953006001E-6</v>
          </cell>
          <cell r="AS73">
            <v>4.7870298658381195E-7</v>
          </cell>
          <cell r="AT73">
            <v>1.7187099743409801E-8</v>
          </cell>
        </row>
        <row r="74">
          <cell r="AP74">
            <v>0</v>
          </cell>
          <cell r="AQ74">
            <v>0.80000001192092896</v>
          </cell>
          <cell r="AR74">
            <v>9.7990696303895607E-6</v>
          </cell>
          <cell r="AS74">
            <v>2.02306000574026E-6</v>
          </cell>
          <cell r="AT74">
            <v>1.3062299331068E-7</v>
          </cell>
        </row>
        <row r="75">
          <cell r="AP75">
            <v>0</v>
          </cell>
          <cell r="AQ75">
            <v>1</v>
          </cell>
          <cell r="AR75">
            <v>2.3552700440632101E-5</v>
          </cell>
          <cell r="AS75">
            <v>6.1876799009041801E-6</v>
          </cell>
          <cell r="AT75">
            <v>6.2984901205709299E-7</v>
          </cell>
        </row>
        <row r="76">
          <cell r="AP76">
            <v>0</v>
          </cell>
          <cell r="AQ76">
            <v>1.20000004768371</v>
          </cell>
          <cell r="AR76">
            <v>4.8219601012533497E-5</v>
          </cell>
          <cell r="AS76">
            <v>1.5424999219248999E-5</v>
          </cell>
          <cell r="AT76">
            <v>2.27753002945974E-6</v>
          </cell>
        </row>
        <row r="77">
          <cell r="AP77">
            <v>0</v>
          </cell>
          <cell r="AQ77">
            <v>1.3999999761581401</v>
          </cell>
          <cell r="AR77">
            <v>8.8374399638269097E-5</v>
          </cell>
          <cell r="AS77">
            <v>3.3390999305993298E-5</v>
          </cell>
          <cell r="AT77">
            <v>6.7521000346459897E-6</v>
          </cell>
        </row>
        <row r="78">
          <cell r="AP78">
            <v>0</v>
          </cell>
          <cell r="AQ78">
            <v>1.6000000238418499</v>
          </cell>
          <cell r="AR78">
            <v>1.4936500519979699E-4</v>
          </cell>
          <cell r="AS78">
            <v>6.5188498410861899E-5</v>
          </cell>
          <cell r="AT78">
            <v>1.73093994817463E-5</v>
          </cell>
        </row>
        <row r="79">
          <cell r="AP79">
            <v>0</v>
          </cell>
          <cell r="AQ79">
            <v>1.79999995231628</v>
          </cell>
          <cell r="AR79">
            <v>2.3732800036668699E-4</v>
          </cell>
          <cell r="AS79">
            <v>1.17613999464083E-4</v>
          </cell>
          <cell r="AT79">
            <v>3.9710699638817398E-5</v>
          </cell>
        </row>
        <row r="80">
          <cell r="AP80">
            <v>0</v>
          </cell>
          <cell r="AQ80">
            <v>2</v>
          </cell>
          <cell r="AR80">
            <v>3.5933399340137801E-4</v>
          </cell>
          <cell r="AS80">
            <v>1.99425005121156E-4</v>
          </cell>
          <cell r="AT80">
            <v>8.3463899500202306E-5</v>
          </cell>
        </row>
        <row r="81">
          <cell r="AP81">
            <v>0</v>
          </cell>
          <cell r="AQ81">
            <v>2.20000004768371</v>
          </cell>
          <cell r="AR81">
            <v>5.2412197692319697E-4</v>
          </cell>
          <cell r="AS81">
            <v>3.2176499371416802E-4</v>
          </cell>
          <cell r="AT81">
            <v>1.6342700109817001E-4</v>
          </cell>
        </row>
        <row r="82">
          <cell r="AP82">
            <v>0</v>
          </cell>
          <cell r="AQ82">
            <v>2.4000000953674299</v>
          </cell>
          <cell r="AR82">
            <v>7.4521201895549796E-4</v>
          </cell>
          <cell r="AS82">
            <v>4.9947202205657905E-4</v>
          </cell>
          <cell r="AT82">
            <v>3.0185299692675401E-4</v>
          </cell>
        </row>
        <row r="83">
          <cell r="AP83">
            <v>0</v>
          </cell>
          <cell r="AQ83">
            <v>2.5999999046325599</v>
          </cell>
          <cell r="AR83">
            <v>1.05240999255329E-3</v>
          </cell>
          <cell r="AS83">
            <v>7.5676699634641398E-4</v>
          </cell>
          <cell r="AT83">
            <v>5.3127302089705998E-4</v>
          </cell>
        </row>
        <row r="84">
          <cell r="AP84">
            <v>0</v>
          </cell>
          <cell r="AQ84">
            <v>2.7999999523162802</v>
          </cell>
          <cell r="AR84">
            <v>1.5298799844458699E-3</v>
          </cell>
          <cell r="AS84">
            <v>1.15178001578897E-3</v>
          </cell>
          <cell r="AT84">
            <v>9.0162898413836902E-4</v>
          </cell>
        </row>
        <row r="85">
          <cell r="AP85">
            <v>0</v>
          </cell>
          <cell r="AQ85">
            <v>3</v>
          </cell>
          <cell r="AR85">
            <v>2.4309901054948499E-3</v>
          </cell>
          <cell r="AS85">
            <v>1.8734500044956799E-3</v>
          </cell>
          <cell r="AT85">
            <v>1.5185499796643799E-3</v>
          </cell>
        </row>
        <row r="86">
          <cell r="AQ86">
            <v>3.20000004768371</v>
          </cell>
          <cell r="AR86">
            <v>4.4977799989282998E-3</v>
          </cell>
          <cell r="AS86">
            <v>3.5902499221265299E-3</v>
          </cell>
          <cell r="AT86">
            <v>2.7980499435216102E-3</v>
          </cell>
        </row>
        <row r="87">
          <cell r="AQ87">
            <v>3.4000000953674299</v>
          </cell>
          <cell r="AR87">
            <v>8.5121197625994596E-3</v>
          </cell>
          <cell r="AS87">
            <v>7.2244601324200604E-3</v>
          </cell>
          <cell r="AT87">
            <v>5.6865899823605997E-3</v>
          </cell>
        </row>
        <row r="88">
          <cell r="AQ88">
            <v>3.5999999046325599</v>
          </cell>
          <cell r="AR88">
            <v>1.2545799836516301E-2</v>
          </cell>
          <cell r="AS88">
            <v>1.0862999595701601E-2</v>
          </cell>
          <cell r="AT88">
            <v>8.5518900305032695E-3</v>
          </cell>
        </row>
        <row r="89">
          <cell r="AQ89">
            <v>3.7999999523162802</v>
          </cell>
          <cell r="AR89">
            <v>1.6119599342346101E-2</v>
          </cell>
          <cell r="AS89">
            <v>1.41131002455949E-2</v>
          </cell>
          <cell r="AT89">
            <v>1.10863000154495E-2</v>
          </cell>
        </row>
        <row r="90">
          <cell r="AQ90">
            <v>4</v>
          </cell>
          <cell r="AR90">
            <v>1.9859999418258601E-2</v>
          </cell>
          <cell r="AS90">
            <v>1.7440000548958699E-2</v>
          </cell>
          <cell r="AT90">
            <v>1.36799998581409E-2</v>
          </cell>
        </row>
      </sheetData>
      <sheetData sheetId="63"/>
      <sheetData sheetId="64">
        <row r="3">
          <cell r="C3" t="str">
            <v>Preset Timing</v>
          </cell>
          <cell r="D3" t="str">
            <v>TSS - Preset Timing</v>
          </cell>
          <cell r="E3">
            <v>0.08</v>
          </cell>
          <cell r="F3" t="str">
            <v>Preset Timing</v>
          </cell>
          <cell r="G3" t="str">
            <v>RM-Preset</v>
          </cell>
          <cell r="H3">
            <v>0.08</v>
          </cell>
          <cell r="I3">
            <v>-0.35</v>
          </cell>
          <cell r="J3" t="str">
            <v>Comparitive Travel Times</v>
          </cell>
          <cell r="K3">
            <v>4</v>
          </cell>
        </row>
        <row r="4">
          <cell r="C4" t="str">
            <v>Traffic Actuated</v>
          </cell>
          <cell r="D4" t="str">
            <v>TSS-Traffic Actuated Timing</v>
          </cell>
          <cell r="E4">
            <v>0.1</v>
          </cell>
          <cell r="F4" t="str">
            <v>Traffic Actuated</v>
          </cell>
          <cell r="G4" t="str">
            <v>RM-Actuated</v>
          </cell>
          <cell r="H4">
            <v>0.1</v>
          </cell>
          <cell r="I4">
            <v>-0.35</v>
          </cell>
          <cell r="J4" t="str">
            <v>Congestion Warning</v>
          </cell>
          <cell r="K4">
            <v>3</v>
          </cell>
        </row>
        <row r="5">
          <cell r="C5" t="str">
            <v>Central Control</v>
          </cell>
          <cell r="D5" t="str">
            <v>TSS - Central Control</v>
          </cell>
          <cell r="E5">
            <v>0.12</v>
          </cell>
          <cell r="F5" t="str">
            <v>Central Control</v>
          </cell>
          <cell r="G5" t="str">
            <v>RM-Central Control</v>
          </cell>
          <cell r="H5">
            <v>0.12</v>
          </cell>
          <cell r="I5">
            <v>-0.35</v>
          </cell>
          <cell r="J5" t="str">
            <v>Alternative Route/Mode Recommendations</v>
          </cell>
          <cell r="K5">
            <v>7</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ow r="25">
          <cell r="V25">
            <v>0</v>
          </cell>
          <cell r="Z25">
            <v>0</v>
          </cell>
          <cell r="AB25">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3.xml"/><Relationship Id="rId5" Type="http://schemas.openxmlformats.org/officeDocument/2006/relationships/image" Target="../media/image5.emf"/><Relationship Id="rId4" Type="http://schemas.openxmlformats.org/officeDocument/2006/relationships/control" Target="../activeX/activeX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sheetPr>
  <dimension ref="A1:F84"/>
  <sheetViews>
    <sheetView tabSelected="1" zoomScale="60" zoomScaleNormal="60" workbookViewId="0">
      <selection activeCell="S57" sqref="S57"/>
    </sheetView>
  </sheetViews>
  <sheetFormatPr defaultColWidth="9.140625" defaultRowHeight="12.75" x14ac:dyDescent="0.2"/>
  <cols>
    <col min="1" max="1" width="29.85546875" style="545" customWidth="1"/>
    <col min="2" max="2" width="26.7109375" style="545" customWidth="1"/>
    <col min="3" max="3" width="90.7109375" style="545" customWidth="1"/>
    <col min="4" max="256" width="9.140625" style="545"/>
    <col min="257" max="257" width="29.85546875" style="545" customWidth="1"/>
    <col min="258" max="258" width="25.7109375" style="545" customWidth="1"/>
    <col min="259" max="259" width="90.7109375" style="545" customWidth="1"/>
    <col min="260" max="512" width="9.140625" style="545"/>
    <col min="513" max="513" width="29.85546875" style="545" customWidth="1"/>
    <col min="514" max="514" width="25.7109375" style="545" customWidth="1"/>
    <col min="515" max="515" width="90.7109375" style="545" customWidth="1"/>
    <col min="516" max="768" width="9.140625" style="545"/>
    <col min="769" max="769" width="29.85546875" style="545" customWidth="1"/>
    <col min="770" max="770" width="25.7109375" style="545" customWidth="1"/>
    <col min="771" max="771" width="90.7109375" style="545" customWidth="1"/>
    <col min="772" max="1024" width="9.140625" style="545"/>
    <col min="1025" max="1025" width="29.85546875" style="545" customWidth="1"/>
    <col min="1026" max="1026" width="25.7109375" style="545" customWidth="1"/>
    <col min="1027" max="1027" width="90.7109375" style="545" customWidth="1"/>
    <col min="1028" max="1280" width="9.140625" style="545"/>
    <col min="1281" max="1281" width="29.85546875" style="545" customWidth="1"/>
    <col min="1282" max="1282" width="25.7109375" style="545" customWidth="1"/>
    <col min="1283" max="1283" width="90.7109375" style="545" customWidth="1"/>
    <col min="1284" max="1536" width="9.140625" style="545"/>
    <col min="1537" max="1537" width="29.85546875" style="545" customWidth="1"/>
    <col min="1538" max="1538" width="25.7109375" style="545" customWidth="1"/>
    <col min="1539" max="1539" width="90.7109375" style="545" customWidth="1"/>
    <col min="1540" max="1792" width="9.140625" style="545"/>
    <col min="1793" max="1793" width="29.85546875" style="545" customWidth="1"/>
    <col min="1794" max="1794" width="25.7109375" style="545" customWidth="1"/>
    <col min="1795" max="1795" width="90.7109375" style="545" customWidth="1"/>
    <col min="1796" max="2048" width="9.140625" style="545"/>
    <col min="2049" max="2049" width="29.85546875" style="545" customWidth="1"/>
    <col min="2050" max="2050" width="25.7109375" style="545" customWidth="1"/>
    <col min="2051" max="2051" width="90.7109375" style="545" customWidth="1"/>
    <col min="2052" max="2304" width="9.140625" style="545"/>
    <col min="2305" max="2305" width="29.85546875" style="545" customWidth="1"/>
    <col min="2306" max="2306" width="25.7109375" style="545" customWidth="1"/>
    <col min="2307" max="2307" width="90.7109375" style="545" customWidth="1"/>
    <col min="2308" max="2560" width="9.140625" style="545"/>
    <col min="2561" max="2561" width="29.85546875" style="545" customWidth="1"/>
    <col min="2562" max="2562" width="25.7109375" style="545" customWidth="1"/>
    <col min="2563" max="2563" width="90.7109375" style="545" customWidth="1"/>
    <col min="2564" max="2816" width="9.140625" style="545"/>
    <col min="2817" max="2817" width="29.85546875" style="545" customWidth="1"/>
    <col min="2818" max="2818" width="25.7109375" style="545" customWidth="1"/>
    <col min="2819" max="2819" width="90.7109375" style="545" customWidth="1"/>
    <col min="2820" max="3072" width="9.140625" style="545"/>
    <col min="3073" max="3073" width="29.85546875" style="545" customWidth="1"/>
    <col min="3074" max="3074" width="25.7109375" style="545" customWidth="1"/>
    <col min="3075" max="3075" width="90.7109375" style="545" customWidth="1"/>
    <col min="3076" max="3328" width="9.140625" style="545"/>
    <col min="3329" max="3329" width="29.85546875" style="545" customWidth="1"/>
    <col min="3330" max="3330" width="25.7109375" style="545" customWidth="1"/>
    <col min="3331" max="3331" width="90.7109375" style="545" customWidth="1"/>
    <col min="3332" max="3584" width="9.140625" style="545"/>
    <col min="3585" max="3585" width="29.85546875" style="545" customWidth="1"/>
    <col min="3586" max="3586" width="25.7109375" style="545" customWidth="1"/>
    <col min="3587" max="3587" width="90.7109375" style="545" customWidth="1"/>
    <col min="3588" max="3840" width="9.140625" style="545"/>
    <col min="3841" max="3841" width="29.85546875" style="545" customWidth="1"/>
    <col min="3842" max="3842" width="25.7109375" style="545" customWidth="1"/>
    <col min="3843" max="3843" width="90.7109375" style="545" customWidth="1"/>
    <col min="3844" max="4096" width="9.140625" style="545"/>
    <col min="4097" max="4097" width="29.85546875" style="545" customWidth="1"/>
    <col min="4098" max="4098" width="25.7109375" style="545" customWidth="1"/>
    <col min="4099" max="4099" width="90.7109375" style="545" customWidth="1"/>
    <col min="4100" max="4352" width="9.140625" style="545"/>
    <col min="4353" max="4353" width="29.85546875" style="545" customWidth="1"/>
    <col min="4354" max="4354" width="25.7109375" style="545" customWidth="1"/>
    <col min="4355" max="4355" width="90.7109375" style="545" customWidth="1"/>
    <col min="4356" max="4608" width="9.140625" style="545"/>
    <col min="4609" max="4609" width="29.85546875" style="545" customWidth="1"/>
    <col min="4610" max="4610" width="25.7109375" style="545" customWidth="1"/>
    <col min="4611" max="4611" width="90.7109375" style="545" customWidth="1"/>
    <col min="4612" max="4864" width="9.140625" style="545"/>
    <col min="4865" max="4865" width="29.85546875" style="545" customWidth="1"/>
    <col min="4866" max="4866" width="25.7109375" style="545" customWidth="1"/>
    <col min="4867" max="4867" width="90.7109375" style="545" customWidth="1"/>
    <col min="4868" max="5120" width="9.140625" style="545"/>
    <col min="5121" max="5121" width="29.85546875" style="545" customWidth="1"/>
    <col min="5122" max="5122" width="25.7109375" style="545" customWidth="1"/>
    <col min="5123" max="5123" width="90.7109375" style="545" customWidth="1"/>
    <col min="5124" max="5376" width="9.140625" style="545"/>
    <col min="5377" max="5377" width="29.85546875" style="545" customWidth="1"/>
    <col min="5378" max="5378" width="25.7109375" style="545" customWidth="1"/>
    <col min="5379" max="5379" width="90.7109375" style="545" customWidth="1"/>
    <col min="5380" max="5632" width="9.140625" style="545"/>
    <col min="5633" max="5633" width="29.85546875" style="545" customWidth="1"/>
    <col min="5634" max="5634" width="25.7109375" style="545" customWidth="1"/>
    <col min="5635" max="5635" width="90.7109375" style="545" customWidth="1"/>
    <col min="5636" max="5888" width="9.140625" style="545"/>
    <col min="5889" max="5889" width="29.85546875" style="545" customWidth="1"/>
    <col min="5890" max="5890" width="25.7109375" style="545" customWidth="1"/>
    <col min="5891" max="5891" width="90.7109375" style="545" customWidth="1"/>
    <col min="5892" max="6144" width="9.140625" style="545"/>
    <col min="6145" max="6145" width="29.85546875" style="545" customWidth="1"/>
    <col min="6146" max="6146" width="25.7109375" style="545" customWidth="1"/>
    <col min="6147" max="6147" width="90.7109375" style="545" customWidth="1"/>
    <col min="6148" max="6400" width="9.140625" style="545"/>
    <col min="6401" max="6401" width="29.85546875" style="545" customWidth="1"/>
    <col min="6402" max="6402" width="25.7109375" style="545" customWidth="1"/>
    <col min="6403" max="6403" width="90.7109375" style="545" customWidth="1"/>
    <col min="6404" max="6656" width="9.140625" style="545"/>
    <col min="6657" max="6657" width="29.85546875" style="545" customWidth="1"/>
    <col min="6658" max="6658" width="25.7109375" style="545" customWidth="1"/>
    <col min="6659" max="6659" width="90.7109375" style="545" customWidth="1"/>
    <col min="6660" max="6912" width="9.140625" style="545"/>
    <col min="6913" max="6913" width="29.85546875" style="545" customWidth="1"/>
    <col min="6914" max="6914" width="25.7109375" style="545" customWidth="1"/>
    <col min="6915" max="6915" width="90.7109375" style="545" customWidth="1"/>
    <col min="6916" max="7168" width="9.140625" style="545"/>
    <col min="7169" max="7169" width="29.85546875" style="545" customWidth="1"/>
    <col min="7170" max="7170" width="25.7109375" style="545" customWidth="1"/>
    <col min="7171" max="7171" width="90.7109375" style="545" customWidth="1"/>
    <col min="7172" max="7424" width="9.140625" style="545"/>
    <col min="7425" max="7425" width="29.85546875" style="545" customWidth="1"/>
    <col min="7426" max="7426" width="25.7109375" style="545" customWidth="1"/>
    <col min="7427" max="7427" width="90.7109375" style="545" customWidth="1"/>
    <col min="7428" max="7680" width="9.140625" style="545"/>
    <col min="7681" max="7681" width="29.85546875" style="545" customWidth="1"/>
    <col min="7682" max="7682" width="25.7109375" style="545" customWidth="1"/>
    <col min="7683" max="7683" width="90.7109375" style="545" customWidth="1"/>
    <col min="7684" max="7936" width="9.140625" style="545"/>
    <col min="7937" max="7937" width="29.85546875" style="545" customWidth="1"/>
    <col min="7938" max="7938" width="25.7109375" style="545" customWidth="1"/>
    <col min="7939" max="7939" width="90.7109375" style="545" customWidth="1"/>
    <col min="7940" max="8192" width="9.140625" style="545"/>
    <col min="8193" max="8193" width="29.85546875" style="545" customWidth="1"/>
    <col min="8194" max="8194" width="25.7109375" style="545" customWidth="1"/>
    <col min="8195" max="8195" width="90.7109375" style="545" customWidth="1"/>
    <col min="8196" max="8448" width="9.140625" style="545"/>
    <col min="8449" max="8449" width="29.85546875" style="545" customWidth="1"/>
    <col min="8450" max="8450" width="25.7109375" style="545" customWidth="1"/>
    <col min="8451" max="8451" width="90.7109375" style="545" customWidth="1"/>
    <col min="8452" max="8704" width="9.140625" style="545"/>
    <col min="8705" max="8705" width="29.85546875" style="545" customWidth="1"/>
    <col min="8706" max="8706" width="25.7109375" style="545" customWidth="1"/>
    <col min="8707" max="8707" width="90.7109375" style="545" customWidth="1"/>
    <col min="8708" max="8960" width="9.140625" style="545"/>
    <col min="8961" max="8961" width="29.85546875" style="545" customWidth="1"/>
    <col min="8962" max="8962" width="25.7109375" style="545" customWidth="1"/>
    <col min="8963" max="8963" width="90.7109375" style="545" customWidth="1"/>
    <col min="8964" max="9216" width="9.140625" style="545"/>
    <col min="9217" max="9217" width="29.85546875" style="545" customWidth="1"/>
    <col min="9218" max="9218" width="25.7109375" style="545" customWidth="1"/>
    <col min="9219" max="9219" width="90.7109375" style="545" customWidth="1"/>
    <col min="9220" max="9472" width="9.140625" style="545"/>
    <col min="9473" max="9473" width="29.85546875" style="545" customWidth="1"/>
    <col min="9474" max="9474" width="25.7109375" style="545" customWidth="1"/>
    <col min="9475" max="9475" width="90.7109375" style="545" customWidth="1"/>
    <col min="9476" max="9728" width="9.140625" style="545"/>
    <col min="9729" max="9729" width="29.85546875" style="545" customWidth="1"/>
    <col min="9730" max="9730" width="25.7109375" style="545" customWidth="1"/>
    <col min="9731" max="9731" width="90.7109375" style="545" customWidth="1"/>
    <col min="9732" max="9984" width="9.140625" style="545"/>
    <col min="9985" max="9985" width="29.85546875" style="545" customWidth="1"/>
    <col min="9986" max="9986" width="25.7109375" style="545" customWidth="1"/>
    <col min="9987" max="9987" width="90.7109375" style="545" customWidth="1"/>
    <col min="9988" max="10240" width="9.140625" style="545"/>
    <col min="10241" max="10241" width="29.85546875" style="545" customWidth="1"/>
    <col min="10242" max="10242" width="25.7109375" style="545" customWidth="1"/>
    <col min="10243" max="10243" width="90.7109375" style="545" customWidth="1"/>
    <col min="10244" max="10496" width="9.140625" style="545"/>
    <col min="10497" max="10497" width="29.85546875" style="545" customWidth="1"/>
    <col min="10498" max="10498" width="25.7109375" style="545" customWidth="1"/>
    <col min="10499" max="10499" width="90.7109375" style="545" customWidth="1"/>
    <col min="10500" max="10752" width="9.140625" style="545"/>
    <col min="10753" max="10753" width="29.85546875" style="545" customWidth="1"/>
    <col min="10754" max="10754" width="25.7109375" style="545" customWidth="1"/>
    <col min="10755" max="10755" width="90.7109375" style="545" customWidth="1"/>
    <col min="10756" max="11008" width="9.140625" style="545"/>
    <col min="11009" max="11009" width="29.85546875" style="545" customWidth="1"/>
    <col min="11010" max="11010" width="25.7109375" style="545" customWidth="1"/>
    <col min="11011" max="11011" width="90.7109375" style="545" customWidth="1"/>
    <col min="11012" max="11264" width="9.140625" style="545"/>
    <col min="11265" max="11265" width="29.85546875" style="545" customWidth="1"/>
    <col min="11266" max="11266" width="25.7109375" style="545" customWidth="1"/>
    <col min="11267" max="11267" width="90.7109375" style="545" customWidth="1"/>
    <col min="11268" max="11520" width="9.140625" style="545"/>
    <col min="11521" max="11521" width="29.85546875" style="545" customWidth="1"/>
    <col min="11522" max="11522" width="25.7109375" style="545" customWidth="1"/>
    <col min="11523" max="11523" width="90.7109375" style="545" customWidth="1"/>
    <col min="11524" max="11776" width="9.140625" style="545"/>
    <col min="11777" max="11777" width="29.85546875" style="545" customWidth="1"/>
    <col min="11778" max="11778" width="25.7109375" style="545" customWidth="1"/>
    <col min="11779" max="11779" width="90.7109375" style="545" customWidth="1"/>
    <col min="11780" max="12032" width="9.140625" style="545"/>
    <col min="12033" max="12033" width="29.85546875" style="545" customWidth="1"/>
    <col min="12034" max="12034" width="25.7109375" style="545" customWidth="1"/>
    <col min="12035" max="12035" width="90.7109375" style="545" customWidth="1"/>
    <col min="12036" max="12288" width="9.140625" style="545"/>
    <col min="12289" max="12289" width="29.85546875" style="545" customWidth="1"/>
    <col min="12290" max="12290" width="25.7109375" style="545" customWidth="1"/>
    <col min="12291" max="12291" width="90.7109375" style="545" customWidth="1"/>
    <col min="12292" max="12544" width="9.140625" style="545"/>
    <col min="12545" max="12545" width="29.85546875" style="545" customWidth="1"/>
    <col min="12546" max="12546" width="25.7109375" style="545" customWidth="1"/>
    <col min="12547" max="12547" width="90.7109375" style="545" customWidth="1"/>
    <col min="12548" max="12800" width="9.140625" style="545"/>
    <col min="12801" max="12801" width="29.85546875" style="545" customWidth="1"/>
    <col min="12802" max="12802" width="25.7109375" style="545" customWidth="1"/>
    <col min="12803" max="12803" width="90.7109375" style="545" customWidth="1"/>
    <col min="12804" max="13056" width="9.140625" style="545"/>
    <col min="13057" max="13057" width="29.85546875" style="545" customWidth="1"/>
    <col min="13058" max="13058" width="25.7109375" style="545" customWidth="1"/>
    <col min="13059" max="13059" width="90.7109375" style="545" customWidth="1"/>
    <col min="13060" max="13312" width="9.140625" style="545"/>
    <col min="13313" max="13313" width="29.85546875" style="545" customWidth="1"/>
    <col min="13314" max="13314" width="25.7109375" style="545" customWidth="1"/>
    <col min="13315" max="13315" width="90.7109375" style="545" customWidth="1"/>
    <col min="13316" max="13568" width="9.140625" style="545"/>
    <col min="13569" max="13569" width="29.85546875" style="545" customWidth="1"/>
    <col min="13570" max="13570" width="25.7109375" style="545" customWidth="1"/>
    <col min="13571" max="13571" width="90.7109375" style="545" customWidth="1"/>
    <col min="13572" max="13824" width="9.140625" style="545"/>
    <col min="13825" max="13825" width="29.85546875" style="545" customWidth="1"/>
    <col min="13826" max="13826" width="25.7109375" style="545" customWidth="1"/>
    <col min="13827" max="13827" width="90.7109375" style="545" customWidth="1"/>
    <col min="13828" max="14080" width="9.140625" style="545"/>
    <col min="14081" max="14081" width="29.85546875" style="545" customWidth="1"/>
    <col min="14082" max="14082" width="25.7109375" style="545" customWidth="1"/>
    <col min="14083" max="14083" width="90.7109375" style="545" customWidth="1"/>
    <col min="14084" max="14336" width="9.140625" style="545"/>
    <col min="14337" max="14337" width="29.85546875" style="545" customWidth="1"/>
    <col min="14338" max="14338" width="25.7109375" style="545" customWidth="1"/>
    <col min="14339" max="14339" width="90.7109375" style="545" customWidth="1"/>
    <col min="14340" max="14592" width="9.140625" style="545"/>
    <col min="14593" max="14593" width="29.85546875" style="545" customWidth="1"/>
    <col min="14594" max="14594" width="25.7109375" style="545" customWidth="1"/>
    <col min="14595" max="14595" width="90.7109375" style="545" customWidth="1"/>
    <col min="14596" max="14848" width="9.140625" style="545"/>
    <col min="14849" max="14849" width="29.85546875" style="545" customWidth="1"/>
    <col min="14850" max="14850" width="25.7109375" style="545" customWidth="1"/>
    <col min="14851" max="14851" width="90.7109375" style="545" customWidth="1"/>
    <col min="14852" max="15104" width="9.140625" style="545"/>
    <col min="15105" max="15105" width="29.85546875" style="545" customWidth="1"/>
    <col min="15106" max="15106" width="25.7109375" style="545" customWidth="1"/>
    <col min="15107" max="15107" width="90.7109375" style="545" customWidth="1"/>
    <col min="15108" max="15360" width="9.140625" style="545"/>
    <col min="15361" max="15361" width="29.85546875" style="545" customWidth="1"/>
    <col min="15362" max="15362" width="25.7109375" style="545" customWidth="1"/>
    <col min="15363" max="15363" width="90.7109375" style="545" customWidth="1"/>
    <col min="15364" max="15616" width="9.140625" style="545"/>
    <col min="15617" max="15617" width="29.85546875" style="545" customWidth="1"/>
    <col min="15618" max="15618" width="25.7109375" style="545" customWidth="1"/>
    <col min="15619" max="15619" width="90.7109375" style="545" customWidth="1"/>
    <col min="15620" max="15872" width="9.140625" style="545"/>
    <col min="15873" max="15873" width="29.85546875" style="545" customWidth="1"/>
    <col min="15874" max="15874" width="25.7109375" style="545" customWidth="1"/>
    <col min="15875" max="15875" width="90.7109375" style="545" customWidth="1"/>
    <col min="15876" max="16128" width="9.140625" style="545"/>
    <col min="16129" max="16129" width="29.85546875" style="545" customWidth="1"/>
    <col min="16130" max="16130" width="25.7109375" style="545" customWidth="1"/>
    <col min="16131" max="16131" width="90.7109375" style="545" customWidth="1"/>
    <col min="16132" max="16384" width="9.140625" style="545"/>
  </cols>
  <sheetData>
    <row r="1" spans="1:3" ht="53.25" x14ac:dyDescent="1">
      <c r="A1" s="544" t="s">
        <v>307</v>
      </c>
    </row>
    <row r="2" spans="1:3" ht="68.25" x14ac:dyDescent="1.2">
      <c r="A2" s="546"/>
    </row>
    <row r="5" spans="1:3" x14ac:dyDescent="0.2">
      <c r="B5" s="599" t="s">
        <v>229</v>
      </c>
      <c r="C5" s="600"/>
    </row>
    <row r="6" spans="1:3" x14ac:dyDescent="0.2">
      <c r="B6" s="601"/>
      <c r="C6" s="602"/>
    </row>
    <row r="7" spans="1:3" x14ac:dyDescent="0.2">
      <c r="B7" s="601"/>
      <c r="C7" s="602"/>
    </row>
    <row r="8" spans="1:3" x14ac:dyDescent="0.2">
      <c r="B8" s="601"/>
      <c r="C8" s="602"/>
    </row>
    <row r="9" spans="1:3" x14ac:dyDescent="0.2">
      <c r="B9" s="601"/>
      <c r="C9" s="602"/>
    </row>
    <row r="10" spans="1:3" x14ac:dyDescent="0.2">
      <c r="B10" s="601"/>
      <c r="C10" s="602"/>
    </row>
    <row r="11" spans="1:3" x14ac:dyDescent="0.2">
      <c r="B11" s="601"/>
      <c r="C11" s="602"/>
    </row>
    <row r="12" spans="1:3" x14ac:dyDescent="0.2">
      <c r="B12" s="603"/>
      <c r="C12" s="604"/>
    </row>
    <row r="14" spans="1:3" x14ac:dyDescent="0.2">
      <c r="C14" s="547"/>
    </row>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41" spans="4:4" x14ac:dyDescent="0.2">
      <c r="D41" s="547"/>
    </row>
    <row r="61" spans="6:6" ht="15" x14ac:dyDescent="0.25">
      <c r="F61" s="597"/>
    </row>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sheetData>
  <sheetProtection algorithmName="SHA-512" hashValue="mnEoE+vv8wghefAafTRiI3YOGkaqhFEDxS5bWL9wYiYeXYt/Mkeu37FCxKkOTM6kfJ2KXufyMaml5vqDQr3cnw==" saltValue="CiVgivOmf5MxTeAUHV0ZWw==" spinCount="100000" sheet="1" objects="1" scenarios="1"/>
  <mergeCells count="1">
    <mergeCell ref="B5:C12"/>
  </mergeCells>
  <pageMargins left="0.7" right="0.7"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4" tint="0.79998168889431442"/>
  </sheetPr>
  <dimension ref="A1:R33"/>
  <sheetViews>
    <sheetView zoomScale="90" zoomScaleNormal="90" workbookViewId="0">
      <selection activeCell="A15" sqref="A15"/>
    </sheetView>
  </sheetViews>
  <sheetFormatPr defaultRowHeight="15" x14ac:dyDescent="0.25"/>
  <cols>
    <col min="1" max="1" width="44.7109375" customWidth="1"/>
    <col min="2" max="2" width="28.5703125" customWidth="1"/>
    <col min="3" max="3" width="25" customWidth="1"/>
    <col min="18" max="18" width="12" bestFit="1" customWidth="1"/>
  </cols>
  <sheetData>
    <row r="1" spans="1:5" s="471" customFormat="1" ht="53.25" x14ac:dyDescent="1">
      <c r="A1" s="113" t="s">
        <v>301</v>
      </c>
    </row>
    <row r="2" spans="1:5" s="471" customFormat="1" ht="26.25" customHeight="1" x14ac:dyDescent="0.25">
      <c r="A2" s="116" t="s">
        <v>302</v>
      </c>
    </row>
    <row r="3" spans="1:5" s="419" customFormat="1" ht="26.25" customHeight="1" x14ac:dyDescent="0.25">
      <c r="A3" s="491"/>
    </row>
    <row r="4" spans="1:5" ht="23.25" x14ac:dyDescent="0.35">
      <c r="A4" s="96" t="s">
        <v>238</v>
      </c>
      <c r="B4" s="96" t="s">
        <v>239</v>
      </c>
      <c r="C4" s="96" t="s">
        <v>240</v>
      </c>
    </row>
    <row r="5" spans="1:5" x14ac:dyDescent="0.25">
      <c r="A5" t="s">
        <v>241</v>
      </c>
      <c r="B5" s="414">
        <f>'1) Project Information'!D14</f>
        <v>0</v>
      </c>
      <c r="C5" t="s">
        <v>242</v>
      </c>
    </row>
    <row r="6" spans="1:5" x14ac:dyDescent="0.25">
      <c r="A6" t="s">
        <v>243</v>
      </c>
      <c r="B6" s="414" t="str">
        <f>inputFacilityType</f>
        <v>Urban Other</v>
      </c>
      <c r="C6" t="s">
        <v>242</v>
      </c>
    </row>
    <row r="7" spans="1:5" x14ac:dyDescent="0.25">
      <c r="A7" t="s">
        <v>244</v>
      </c>
      <c r="B7" s="414">
        <f>IF('1) Project Information'!$E$25&gt;0,'1) Project Information'!$E$25,'1) Project Information'!$D$25)</f>
        <v>5</v>
      </c>
      <c r="C7" t="s">
        <v>242</v>
      </c>
    </row>
    <row r="8" spans="1:5" x14ac:dyDescent="0.25">
      <c r="A8" t="s">
        <v>245</v>
      </c>
      <c r="B8" s="415">
        <f>IF('1) Project Information'!$E$26&gt;0,'1) Project Information'!$E$26,'1) Project Information'!$D$26)</f>
        <v>2</v>
      </c>
      <c r="C8" t="s">
        <v>242</v>
      </c>
    </row>
    <row r="9" spans="1:5" x14ac:dyDescent="0.25">
      <c r="A9" t="s">
        <v>246</v>
      </c>
      <c r="B9" s="414">
        <f>defaultFFS</f>
        <v>35</v>
      </c>
      <c r="C9" t="s">
        <v>242</v>
      </c>
    </row>
    <row r="10" spans="1:5" x14ac:dyDescent="0.25">
      <c r="A10" t="s">
        <v>283</v>
      </c>
      <c r="B10" s="414">
        <f>+inputLinkVolume</f>
        <v>0</v>
      </c>
      <c r="C10" t="s">
        <v>242</v>
      </c>
    </row>
    <row r="11" spans="1:5" x14ac:dyDescent="0.25">
      <c r="A11" t="s">
        <v>247</v>
      </c>
      <c r="B11" s="415">
        <f>+$B$23/(IF(inputFFS&gt;0,inputFFS,defaultFFS))</f>
        <v>0</v>
      </c>
      <c r="C11" t="s">
        <v>249</v>
      </c>
      <c r="E11" s="422"/>
    </row>
    <row r="12" spans="1:5" x14ac:dyDescent="0.25">
      <c r="A12" t="s">
        <v>248</v>
      </c>
      <c r="B12" s="414">
        <f>(IF('1) Project Information'!$E$26&gt;0,'1) Project Information'!$E$26,'1) Project Information'!$D$26))*(IF('1) Project Information'!$E$30&gt;0,'1) Project Information'!$E$30,'1) Project Information'!$D$30))*VLOOKUP('Reliability Benefits'!$B$6,LinkCharacteristics!$D$4:$G$8,2,FALSE)</f>
        <v>6400</v>
      </c>
      <c r="C12" t="s">
        <v>249</v>
      </c>
      <c r="E12" t="s">
        <v>286</v>
      </c>
    </row>
    <row r="13" spans="1:5" x14ac:dyDescent="0.25">
      <c r="A13" t="s">
        <v>250</v>
      </c>
      <c r="B13" s="414">
        <f>IF('1) Project Information'!$E$30&gt;0,'1) Project Information'!$E$30,'1) Project Information'!$D$30)</f>
        <v>2</v>
      </c>
      <c r="C13" t="s">
        <v>242</v>
      </c>
    </row>
    <row r="14" spans="1:5" x14ac:dyDescent="0.25">
      <c r="A14" t="s">
        <v>251</v>
      </c>
      <c r="B14" s="414">
        <f>IF('1) Project Information'!$E$31&gt;0,'1) Project Information'!$E$31,'1) Project Information'!$D$31)</f>
        <v>260</v>
      </c>
    </row>
    <row r="15" spans="1:5" x14ac:dyDescent="0.25">
      <c r="A15" t="s">
        <v>319</v>
      </c>
      <c r="B15" s="416">
        <f>IF('3) Analysis Parameters'!$E$8&lt;0,'3) Analysis Parameters'!$E$8,'3) Analysis Parameters'!$D$8)</f>
        <v>26.580785919999997</v>
      </c>
      <c r="C15" t="s">
        <v>242</v>
      </c>
    </row>
    <row r="16" spans="1:5" x14ac:dyDescent="0.25">
      <c r="A16" t="s">
        <v>320</v>
      </c>
      <c r="B16" s="414">
        <f>IF('1) Project Information'!$E$32&gt;0,'1) Project Information'!$E$32,'1) Project Information'!$D$32)</f>
        <v>1</v>
      </c>
      <c r="C16" t="s">
        <v>242</v>
      </c>
    </row>
    <row r="17" spans="1:18" x14ac:dyDescent="0.25">
      <c r="A17" t="s">
        <v>252</v>
      </c>
      <c r="B17" s="414">
        <f>IF('1) Project Information'!$E$33&gt;0,'1) Project Information'!$E$33,'1) Project Information'!$D$33)</f>
        <v>1.2</v>
      </c>
      <c r="C17" t="s">
        <v>242</v>
      </c>
    </row>
    <row r="18" spans="1:18" x14ac:dyDescent="0.25">
      <c r="B18" s="414"/>
    </row>
    <row r="19" spans="1:18" x14ac:dyDescent="0.25">
      <c r="B19" s="414"/>
    </row>
    <row r="20" spans="1:18" ht="37.5" x14ac:dyDescent="0.35">
      <c r="A20" s="96" t="s">
        <v>253</v>
      </c>
      <c r="B20" s="524" t="s">
        <v>303</v>
      </c>
      <c r="C20" s="524" t="s">
        <v>304</v>
      </c>
    </row>
    <row r="21" spans="1:18" x14ac:dyDescent="0.25">
      <c r="A21" t="s">
        <v>254</v>
      </c>
      <c r="B21">
        <f>+$B$10/$B$12</f>
        <v>0</v>
      </c>
      <c r="C21">
        <f>+$B$21</f>
        <v>0</v>
      </c>
      <c r="E21" s="419"/>
      <c r="F21" s="419"/>
      <c r="G21" s="419"/>
      <c r="H21" s="419"/>
      <c r="I21" s="419"/>
      <c r="J21" s="419"/>
      <c r="K21" s="419"/>
      <c r="L21" s="419"/>
      <c r="M21" s="419"/>
      <c r="N21" s="419"/>
      <c r="O21" s="419"/>
      <c r="P21" s="419"/>
      <c r="Q21" s="419"/>
      <c r="R21" s="419"/>
    </row>
    <row r="22" spans="1:18" x14ac:dyDescent="0.25">
      <c r="A22" t="s">
        <v>255</v>
      </c>
      <c r="B22" s="417" t="e">
        <f ca="1">FirstNonZero(inputFFS,defaultFFS)*speedFromVC(inputLinkVolume/override(overrideBaselineCapacity,calculatedBaselineCapacity),OFFSET(vcCurves,MATCH(INDEX(facilityTypes,MATCH(inputFacilityType,facilityTypeId,0),5),INDIRECT("LinkCharacteristics!"&amp;ADDRESS(ROW(vcCurves),COLUMN(vcCurves))&amp;":"&amp;ADDRESS(ROW(vcCurves)+ROWS(vcCurves),COLUMN(vcCurves))),0) - 1,0))</f>
        <v>#NAME?</v>
      </c>
      <c r="C22" s="418" t="e">
        <f ca="1">$C$23/$C$25</f>
        <v>#NAME?</v>
      </c>
      <c r="E22" s="672"/>
      <c r="F22" s="419"/>
      <c r="G22" s="419"/>
      <c r="H22" s="419"/>
      <c r="I22" s="419"/>
      <c r="J22" s="419"/>
      <c r="K22" s="419"/>
      <c r="L22" s="419"/>
      <c r="M22" s="419"/>
      <c r="N22" s="419"/>
      <c r="O22" s="419"/>
      <c r="P22" s="419"/>
      <c r="Q22" s="419"/>
      <c r="R22" s="419"/>
    </row>
    <row r="23" spans="1:18" x14ac:dyDescent="0.25">
      <c r="A23" t="s">
        <v>256</v>
      </c>
      <c r="B23" s="420">
        <f>IF('1) Project Information'!$E$25&gt;0,'1) Project Information'!$E$25,'1) Project Information'!$D$25)*inputLinkVolume*IF('1) Project Information'!$E$31&gt;0,'1) Project Information'!$E$31,'1) Project Information'!$D$31)</f>
        <v>0</v>
      </c>
      <c r="C23" s="420">
        <f>+B23</f>
        <v>0</v>
      </c>
      <c r="E23" s="672"/>
      <c r="F23" s="419"/>
      <c r="G23" s="419"/>
      <c r="H23" s="419"/>
      <c r="I23" s="419"/>
      <c r="J23" s="419"/>
      <c r="K23" s="419"/>
      <c r="L23" s="419"/>
      <c r="M23" s="419"/>
      <c r="N23" s="419"/>
      <c r="O23" s="419"/>
      <c r="P23" s="419"/>
      <c r="Q23" s="419"/>
      <c r="R23" s="419"/>
    </row>
    <row r="24" spans="1:18" x14ac:dyDescent="0.25">
      <c r="A24" t="s">
        <v>257</v>
      </c>
      <c r="B24" s="418"/>
      <c r="C24" s="420">
        <f>'Travel Time Benefits'!$E$18</f>
        <v>0</v>
      </c>
      <c r="E24" s="672"/>
      <c r="F24" s="419"/>
      <c r="G24" s="419"/>
      <c r="H24" s="419"/>
      <c r="I24" s="419"/>
      <c r="J24" s="419"/>
      <c r="K24" s="419"/>
      <c r="L24" s="419"/>
      <c r="M24" s="461"/>
      <c r="N24" s="421"/>
      <c r="O24" s="421"/>
      <c r="P24" s="421"/>
      <c r="Q24" s="419"/>
      <c r="R24" s="419"/>
    </row>
    <row r="25" spans="1:18" ht="15.6" customHeight="1" x14ac:dyDescent="0.25">
      <c r="A25" t="s">
        <v>258</v>
      </c>
      <c r="B25" s="420" t="e">
        <f ca="1">+$B$23/$B$22</f>
        <v>#NAME?</v>
      </c>
      <c r="C25" s="420" t="e">
        <f ca="1">+$B$25-$C$24</f>
        <v>#NAME?</v>
      </c>
      <c r="E25" s="672"/>
      <c r="F25" s="419"/>
      <c r="G25" s="673"/>
      <c r="H25" s="673"/>
      <c r="I25" s="673"/>
      <c r="J25" s="673"/>
      <c r="K25" s="673"/>
      <c r="L25" s="673"/>
      <c r="M25" s="462"/>
      <c r="N25" s="421"/>
      <c r="O25" s="421"/>
      <c r="P25" s="421"/>
      <c r="Q25" s="419"/>
      <c r="R25" s="419"/>
    </row>
    <row r="26" spans="1:18" ht="17.45" customHeight="1" x14ac:dyDescent="0.25">
      <c r="A26" t="s">
        <v>332</v>
      </c>
      <c r="B26" s="420" t="e">
        <f ca="1">(B25-B11)*IF('1) Project Information'!$E$31&gt;0,'1) Project Information'!$E$31,'1) Project Information'!$D$31)</f>
        <v>#NAME?</v>
      </c>
      <c r="E26" s="672"/>
      <c r="F26" s="419"/>
      <c r="G26" s="419"/>
      <c r="H26" s="457"/>
      <c r="I26" s="457"/>
      <c r="J26" s="457"/>
      <c r="K26" s="457"/>
      <c r="L26" s="457"/>
      <c r="M26" s="419"/>
      <c r="N26" s="419"/>
      <c r="O26" s="419"/>
      <c r="P26" s="419"/>
      <c r="Q26" s="419"/>
      <c r="R26" s="419"/>
    </row>
    <row r="27" spans="1:18" ht="17.45" customHeight="1" x14ac:dyDescent="0.25">
      <c r="A27" t="s">
        <v>259</v>
      </c>
      <c r="B27" s="417" t="e">
        <f ca="1">($B$25/$B$22)/($B$25/IF(inputFFS&gt;0,inputFFS,defaultFFS))</f>
        <v>#NAME?</v>
      </c>
      <c r="C27" s="417" t="e">
        <f ca="1">(C25/C22)/(C25/IF(inputFFS&gt;0,inputFFS,defaultFFS))</f>
        <v>#NAME?</v>
      </c>
    </row>
    <row r="28" spans="1:18" x14ac:dyDescent="0.25">
      <c r="A28" t="s">
        <v>260</v>
      </c>
      <c r="B28" s="424" t="e">
        <f ca="1">5.3746/(1+EXP(-1.5782-0.85867*$B$27)*(1/0.04953))</f>
        <v>#NAME?</v>
      </c>
      <c r="C28" s="424" t="e">
        <f ca="1">5.3746/(1+EXP(-1.5782-0.85867*$C$27)*(1/0.04953))</f>
        <v>#NAME?</v>
      </c>
    </row>
    <row r="29" spans="1:18" x14ac:dyDescent="0.25">
      <c r="A29" t="s">
        <v>261</v>
      </c>
      <c r="B29" s="448" t="e">
        <f ca="1">($B$28-$B$27)*$B$25</f>
        <v>#NAME?</v>
      </c>
      <c r="C29" s="420" t="e">
        <f ca="1">($C$28-$C$27)*$C$25</f>
        <v>#NAME?</v>
      </c>
    </row>
    <row r="30" spans="1:18" x14ac:dyDescent="0.25">
      <c r="A30" t="s">
        <v>262</v>
      </c>
      <c r="C30" s="420" t="e">
        <f ca="1">+$B$29-$C$29</f>
        <v>#NAME?</v>
      </c>
    </row>
    <row r="31" spans="1:18" x14ac:dyDescent="0.25">
      <c r="A31" t="s">
        <v>263</v>
      </c>
      <c r="B31" s="425" t="e">
        <f ca="1">+$B$26*IF('1) Project Information'!$E$22&gt;0,'1) Project Information'!$E$22,'1) Project Information'!$D$22)</f>
        <v>#NAME?</v>
      </c>
      <c r="C31" s="426"/>
    </row>
    <row r="32" spans="1:18" x14ac:dyDescent="0.25">
      <c r="A32" t="s">
        <v>333</v>
      </c>
      <c r="B32" s="427" t="e">
        <f ca="1">$B$29*IF('1) Project Information'!$E$22&gt;0,'1) Project Information'!$E$22,'1) Project Information'!$D$22)</f>
        <v>#NAME?</v>
      </c>
      <c r="C32" s="426"/>
    </row>
    <row r="33" spans="1:3" x14ac:dyDescent="0.25">
      <c r="A33" t="s">
        <v>263</v>
      </c>
      <c r="B33" s="428"/>
      <c r="C33" s="463">
        <f>(IF(OR(B6="Rural Other",B6="Urban Other"),0,+$C$30*IF('1) Project Information'!$E$22&gt;0,'1) Project Information'!$E$22,'1) Project Information'!$D$22)))*IF('1) Project Information'!$E$33&gt;0,'1) Project Information'!$E$33,'1) Project Information'!$D$33)*IF('1) Project Information'!$E$32&gt;0,'1) Project Information'!$E$32,'1) Project Information'!$D$32)</f>
        <v>0</v>
      </c>
    </row>
  </sheetData>
  <sheetProtection algorithmName="SHA-512" hashValue="2Lsh9pOSn4GFqRYVqpqZbVUtbg+j0M847yE1imKUjmVTqThApunWRzM3xpOB4eoRTjqLk4swgRYnv/jC0RRB6A==" saltValue="1zMoND/Sjr7kn6LdHJBUbQ==" spinCount="100000" sheet="1" objects="1" scenarios="1"/>
  <mergeCells count="3">
    <mergeCell ref="E22:E23"/>
    <mergeCell ref="E24:E26"/>
    <mergeCell ref="G25:L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4" tint="0.79998168889431442"/>
    <pageSetUpPr fitToPage="1"/>
  </sheetPr>
  <dimension ref="A1:L74"/>
  <sheetViews>
    <sheetView zoomScale="50" zoomScaleNormal="50" workbookViewId="0">
      <selection activeCell="I79" sqref="I79"/>
    </sheetView>
  </sheetViews>
  <sheetFormatPr defaultColWidth="9.140625" defaultRowHeight="15" x14ac:dyDescent="0.25"/>
  <cols>
    <col min="1" max="1" width="13.42578125" style="61" customWidth="1"/>
    <col min="2" max="2" width="21.7109375" style="61" customWidth="1"/>
    <col min="3" max="3" width="31.42578125" style="61" customWidth="1"/>
    <col min="4" max="4" width="31.85546875" style="61" customWidth="1"/>
    <col min="5" max="5" width="43.85546875" style="61" customWidth="1"/>
    <col min="6" max="6" width="11.42578125" style="61" customWidth="1"/>
    <col min="7" max="9" width="9.140625" style="61"/>
    <col min="10" max="10" width="15.7109375" style="61" customWidth="1"/>
    <col min="11" max="11" width="30.42578125" style="61" customWidth="1"/>
    <col min="12" max="12" width="15.28515625" style="61" customWidth="1"/>
    <col min="13" max="16384" width="9.140625" style="61"/>
  </cols>
  <sheetData>
    <row r="1" spans="1:12" ht="53.25" x14ac:dyDescent="1">
      <c r="B1" s="113" t="s">
        <v>111</v>
      </c>
    </row>
    <row r="2" spans="1:12" ht="36" x14ac:dyDescent="0.25">
      <c r="B2" s="116" t="s">
        <v>117</v>
      </c>
    </row>
    <row r="3" spans="1:12" ht="23.25" x14ac:dyDescent="0.25">
      <c r="A3" s="110"/>
    </row>
    <row r="4" spans="1:12" ht="27.75" x14ac:dyDescent="0.35">
      <c r="B4" s="78" t="s">
        <v>94</v>
      </c>
      <c r="C4" s="79"/>
      <c r="D4" s="80" t="s">
        <v>183</v>
      </c>
      <c r="E4" s="79"/>
      <c r="F4" s="79"/>
      <c r="G4" s="79"/>
      <c r="H4" s="79"/>
      <c r="K4" s="114" t="s">
        <v>119</v>
      </c>
    </row>
    <row r="5" spans="1:12" ht="27.75" x14ac:dyDescent="0.35">
      <c r="B5" s="101"/>
      <c r="K5" s="115" t="s">
        <v>120</v>
      </c>
      <c r="L5" s="570">
        <v>0</v>
      </c>
    </row>
    <row r="6" spans="1:12" ht="27.75" x14ac:dyDescent="0.35">
      <c r="B6" s="78" t="s">
        <v>95</v>
      </c>
      <c r="C6" s="79"/>
      <c r="D6" s="80" t="s">
        <v>184</v>
      </c>
      <c r="E6" s="79"/>
      <c r="F6" s="79"/>
      <c r="G6" s="79"/>
      <c r="H6" s="79"/>
      <c r="I6" s="79"/>
      <c r="K6" s="123" t="s">
        <v>168</v>
      </c>
      <c r="L6" s="571">
        <f>'2) Project Crash Data'!I34</f>
        <v>0</v>
      </c>
    </row>
    <row r="7" spans="1:12" ht="27.75" x14ac:dyDescent="0.35">
      <c r="B7" s="81"/>
      <c r="C7" s="81"/>
      <c r="D7" s="82"/>
      <c r="E7" s="81"/>
      <c r="K7" s="123" t="s">
        <v>171</v>
      </c>
      <c r="L7" s="568">
        <f>'2) Project Crash Data'!G39</f>
        <v>0</v>
      </c>
    </row>
    <row r="8" spans="1:12" ht="30" customHeight="1" x14ac:dyDescent="0.35">
      <c r="B8" s="83" t="s">
        <v>93</v>
      </c>
      <c r="C8" s="67"/>
      <c r="D8" s="67"/>
      <c r="E8" s="67"/>
    </row>
    <row r="9" spans="1:12" ht="30" customHeight="1" x14ac:dyDescent="0.35">
      <c r="B9" s="67"/>
      <c r="C9" s="86" t="s">
        <v>56</v>
      </c>
      <c r="D9" s="86" t="s">
        <v>57</v>
      </c>
      <c r="E9" s="86" t="s">
        <v>58</v>
      </c>
    </row>
    <row r="10" spans="1:12" ht="65.25" customHeight="1" x14ac:dyDescent="0.35">
      <c r="B10" s="102" t="s">
        <v>19</v>
      </c>
      <c r="C10" s="102" t="s">
        <v>115</v>
      </c>
      <c r="D10" s="102" t="s">
        <v>214</v>
      </c>
      <c r="E10" s="102" t="s">
        <v>170</v>
      </c>
    </row>
    <row r="11" spans="1:12" ht="30" customHeight="1" x14ac:dyDescent="0.35">
      <c r="B11" s="84" t="s">
        <v>13</v>
      </c>
      <c r="C11" s="483">
        <f>IF('2) Project Crash Data'!G32&gt;0,'2) Project Crash Data'!G32,'2) Project Crash Data'!F32)</f>
        <v>0</v>
      </c>
      <c r="D11" s="124">
        <f>'3) Analysis Parameters'!D16</f>
        <v>39</v>
      </c>
      <c r="E11" s="562">
        <f>C11*D11</f>
        <v>0</v>
      </c>
    </row>
    <row r="12" spans="1:12" ht="30" customHeight="1" x14ac:dyDescent="0.35">
      <c r="B12" s="84" t="s">
        <v>12</v>
      </c>
      <c r="C12" s="483">
        <f>IF('2) Project Crash Data'!G33&gt;0,'2) Project Crash Data'!G33,'2) Project Crash Data'!F33)</f>
        <v>0</v>
      </c>
      <c r="D12" s="124">
        <f>'3) Analysis Parameters'!D17</f>
        <v>17</v>
      </c>
      <c r="E12" s="562">
        <f>C12*D12</f>
        <v>0</v>
      </c>
    </row>
    <row r="13" spans="1:12" ht="30" customHeight="1" x14ac:dyDescent="0.35">
      <c r="B13" s="84" t="s">
        <v>11</v>
      </c>
      <c r="C13" s="483">
        <f>IF('2) Project Crash Data'!G34&gt;0,'2) Project Crash Data'!G34,'2) Project Crash Data'!F34)</f>
        <v>0</v>
      </c>
      <c r="D13" s="124">
        <f>'3) Analysis Parameters'!D17</f>
        <v>17</v>
      </c>
      <c r="E13" s="562">
        <f>C13*D13</f>
        <v>0</v>
      </c>
    </row>
    <row r="14" spans="1:12" ht="30" customHeight="1" x14ac:dyDescent="0.35">
      <c r="B14" s="84" t="s">
        <v>10</v>
      </c>
      <c r="C14" s="483">
        <f>IF('2) Project Crash Data'!G35&gt;0,'2) Project Crash Data'!G35,'2) Project Crash Data'!F35)</f>
        <v>0</v>
      </c>
      <c r="D14" s="124">
        <f>'3) Analysis Parameters'!D17</f>
        <v>17</v>
      </c>
      <c r="E14" s="562">
        <f>C14*D14</f>
        <v>0</v>
      </c>
    </row>
    <row r="15" spans="1:12" ht="30" customHeight="1" x14ac:dyDescent="0.35">
      <c r="B15" s="120" t="s">
        <v>9</v>
      </c>
      <c r="C15" s="483">
        <f>IF('2) Project Crash Data'!G36&gt;0,'2) Project Crash Data'!G36,'2) Project Crash Data'!F36)</f>
        <v>0</v>
      </c>
      <c r="D15" s="124">
        <f>'3) Analysis Parameters'!D18</f>
        <v>10</v>
      </c>
      <c r="E15" s="563">
        <f>C15*D15</f>
        <v>0</v>
      </c>
    </row>
    <row r="16" spans="1:12" ht="30" customHeight="1" x14ac:dyDescent="0.35">
      <c r="B16" s="674" t="s">
        <v>172</v>
      </c>
      <c r="C16" s="675"/>
      <c r="D16" s="676"/>
      <c r="E16" s="569">
        <f>SUM(E11:E15)</f>
        <v>0</v>
      </c>
    </row>
    <row r="17" spans="2:6" ht="30" customHeight="1" x14ac:dyDescent="0.35">
      <c r="B17" s="103" t="s">
        <v>200</v>
      </c>
      <c r="C17" s="104"/>
      <c r="D17" s="105" t="s">
        <v>17</v>
      </c>
      <c r="E17" s="134">
        <f>IF('1) Project Information'!$E$19&gt;0,'1) Project Information'!$E$19,'1) Project Information'!$D$19)</f>
        <v>2.5</v>
      </c>
    </row>
    <row r="18" spans="2:6" ht="30" customHeight="1" x14ac:dyDescent="0.35">
      <c r="B18" s="677" t="s">
        <v>173</v>
      </c>
      <c r="C18" s="678"/>
      <c r="D18" s="679"/>
      <c r="E18" s="133">
        <f>E16*E17</f>
        <v>0</v>
      </c>
    </row>
    <row r="19" spans="2:6" ht="30" customHeight="1" x14ac:dyDescent="0.35">
      <c r="B19" s="67"/>
      <c r="C19" s="67"/>
      <c r="D19" s="67"/>
      <c r="E19" s="67"/>
    </row>
    <row r="20" spans="2:6" x14ac:dyDescent="0.25">
      <c r="C20" s="106"/>
      <c r="F20" s="89"/>
    </row>
    <row r="23" spans="2:6" ht="15" hidden="1" customHeight="1" x14ac:dyDescent="0.25">
      <c r="B23" s="90" t="s">
        <v>27</v>
      </c>
      <c r="C23" s="90" t="s">
        <v>28</v>
      </c>
    </row>
    <row r="24" spans="2:6" ht="15" hidden="1" customHeight="1" x14ac:dyDescent="0.25">
      <c r="B24" s="99">
        <v>1</v>
      </c>
      <c r="C24" s="92">
        <f>IF(B24&lt;='1) Project Information'!D$14,(1/(1+(IF('1) Project Information'!$E$17&gt;0,'1) Project Information'!$E$17,'1) Project Information'!$D$17)))^B24)*#REF!,0)</f>
        <v>0</v>
      </c>
    </row>
    <row r="25" spans="2:6" ht="15" hidden="1" customHeight="1" x14ac:dyDescent="0.25">
      <c r="B25" s="99">
        <v>2</v>
      </c>
      <c r="C25" s="92">
        <f>IF(B25&lt;='1) Project Information'!D$14,(1/(1+(IF('1) Project Information'!$E$17&gt;0,'1) Project Information'!$E$17,'1) Project Information'!$D$17)))^B25)*#REF!,0)</f>
        <v>0</v>
      </c>
    </row>
    <row r="26" spans="2:6" ht="15" hidden="1" customHeight="1" x14ac:dyDescent="0.25">
      <c r="B26" s="99">
        <v>3</v>
      </c>
      <c r="C26" s="92">
        <f>IF(B26&lt;='1) Project Information'!D$14,(1/(1+(IF('1) Project Information'!$E$17&gt;0,'1) Project Information'!$E$17,'1) Project Information'!$D$17)))^B26)*#REF!,0)</f>
        <v>0</v>
      </c>
    </row>
    <row r="27" spans="2:6" ht="15" hidden="1" customHeight="1" x14ac:dyDescent="0.25">
      <c r="B27" s="99">
        <v>4</v>
      </c>
      <c r="C27" s="92">
        <f>IF(B27&lt;='1) Project Information'!D$14,(1/(1+(IF('1) Project Information'!$E$17&gt;0,'1) Project Information'!$E$17,'1) Project Information'!$D$17)))^B27)*#REF!,0)</f>
        <v>0</v>
      </c>
    </row>
    <row r="28" spans="2:6" ht="15" hidden="1" customHeight="1" x14ac:dyDescent="0.25">
      <c r="B28" s="99">
        <v>5</v>
      </c>
      <c r="C28" s="92">
        <f>IF(B28&lt;='1) Project Information'!D$14,(1/(1+(IF('1) Project Information'!$E$17&gt;0,'1) Project Information'!$E$17,'1) Project Information'!$D$17)))^B28)*#REF!,0)</f>
        <v>0</v>
      </c>
    </row>
    <row r="29" spans="2:6" ht="15" hidden="1" customHeight="1" x14ac:dyDescent="0.25">
      <c r="B29" s="99">
        <v>6</v>
      </c>
      <c r="C29" s="92">
        <f>IF(B29&lt;='1) Project Information'!D$14,(1/(1+(IF('1) Project Information'!$E$17&gt;0,'1) Project Information'!$E$17,'1) Project Information'!$D$17)))^B29)*#REF!,0)</f>
        <v>0</v>
      </c>
    </row>
    <row r="30" spans="2:6" ht="15" hidden="1" customHeight="1" x14ac:dyDescent="0.25">
      <c r="B30" s="99">
        <v>7</v>
      </c>
      <c r="C30" s="92">
        <f>IF(B30&lt;='1) Project Information'!D$14,(1/(1+(IF('1) Project Information'!$E$17&gt;0,'1) Project Information'!$E$17,'1) Project Information'!$D$17)))^B30)*#REF!,0)</f>
        <v>0</v>
      </c>
    </row>
    <row r="31" spans="2:6" ht="15" hidden="1" customHeight="1" x14ac:dyDescent="0.25">
      <c r="B31" s="99">
        <v>8</v>
      </c>
      <c r="C31" s="92">
        <f>IF(B31&lt;='1) Project Information'!D$14,(1/(1+(IF('1) Project Information'!$E$17&gt;0,'1) Project Information'!$E$17,'1) Project Information'!$D$17)))^B31)*#REF!,0)</f>
        <v>0</v>
      </c>
    </row>
    <row r="32" spans="2:6" ht="15" hidden="1" customHeight="1" x14ac:dyDescent="0.25">
      <c r="B32" s="99">
        <v>9</v>
      </c>
      <c r="C32" s="92">
        <f>IF(B32&lt;='1) Project Information'!D$14,(1/(1+(IF('1) Project Information'!$E$17&gt;0,'1) Project Information'!$E$17,'1) Project Information'!$D$17)))^B32)*#REF!,0)</f>
        <v>0</v>
      </c>
    </row>
    <row r="33" spans="2:3" ht="15" hidden="1" customHeight="1" x14ac:dyDescent="0.25">
      <c r="B33" s="99">
        <v>10</v>
      </c>
      <c r="C33" s="92">
        <f>IF(B33&lt;='1) Project Information'!D$14,(1/(1+(IF('1) Project Information'!$E$17&gt;0,'1) Project Information'!$E$17,'1) Project Information'!$D$17)))^B33)*#REF!,0)</f>
        <v>0</v>
      </c>
    </row>
    <row r="34" spans="2:3" ht="15" hidden="1" customHeight="1" x14ac:dyDescent="0.25">
      <c r="B34" s="99">
        <v>11</v>
      </c>
      <c r="C34" s="92">
        <f>IF(B34&lt;='1) Project Information'!D$14,(1/(1+(IF('1) Project Information'!$E$17&gt;0,'1) Project Information'!$E$17,'1) Project Information'!$D$17)))^B34)*#REF!,0)</f>
        <v>0</v>
      </c>
    </row>
    <row r="35" spans="2:3" ht="15" hidden="1" customHeight="1" x14ac:dyDescent="0.25">
      <c r="B35" s="99">
        <v>12</v>
      </c>
      <c r="C35" s="92">
        <f>IF(B35&lt;='1) Project Information'!D$14,(1/(1+(IF('1) Project Information'!$E$17&gt;0,'1) Project Information'!$E$17,'1) Project Information'!$D$17)))^B35)*#REF!,0)</f>
        <v>0</v>
      </c>
    </row>
    <row r="36" spans="2:3" ht="15" hidden="1" customHeight="1" x14ac:dyDescent="0.25">
      <c r="B36" s="99">
        <v>13</v>
      </c>
      <c r="C36" s="92">
        <f>IF(B36&lt;='1) Project Information'!D$14,(1/(1+(IF('1) Project Information'!$E$17&gt;0,'1) Project Information'!$E$17,'1) Project Information'!$D$17)))^B36)*#REF!,0)</f>
        <v>0</v>
      </c>
    </row>
    <row r="37" spans="2:3" ht="15" hidden="1" customHeight="1" x14ac:dyDescent="0.25">
      <c r="B37" s="99">
        <v>14</v>
      </c>
      <c r="C37" s="92">
        <f>IF(B37&lt;='1) Project Information'!D$14,(1/(1+(IF('1) Project Information'!$E$17&gt;0,'1) Project Information'!$E$17,'1) Project Information'!$D$17)))^B37)*#REF!,0)</f>
        <v>0</v>
      </c>
    </row>
    <row r="38" spans="2:3" ht="15" hidden="1" customHeight="1" x14ac:dyDescent="0.25">
      <c r="B38" s="99">
        <v>15</v>
      </c>
      <c r="C38" s="92">
        <f>IF(B38&lt;='1) Project Information'!D$14,(1/(1+(IF('1) Project Information'!$E$17&gt;0,'1) Project Information'!$E$17,'1) Project Information'!$D$17)))^B38)*#REF!,0)</f>
        <v>0</v>
      </c>
    </row>
    <row r="39" spans="2:3" ht="15" hidden="1" customHeight="1" x14ac:dyDescent="0.25">
      <c r="B39" s="99">
        <v>16</v>
      </c>
      <c r="C39" s="92">
        <f>IF(B39&lt;='1) Project Information'!D$14,(1/(1+(IF('1) Project Information'!$E$17&gt;0,'1) Project Information'!$E$17,'1) Project Information'!$D$17)))^B39)*#REF!,0)</f>
        <v>0</v>
      </c>
    </row>
    <row r="40" spans="2:3" ht="15" hidden="1" customHeight="1" x14ac:dyDescent="0.25">
      <c r="B40" s="99">
        <v>17</v>
      </c>
      <c r="C40" s="92">
        <f>IF(B40&lt;='1) Project Information'!D$14,(1/(1+(IF('1) Project Information'!$E$17&gt;0,'1) Project Information'!$E$17,'1) Project Information'!$D$17)))^B40)*#REF!,0)</f>
        <v>0</v>
      </c>
    </row>
    <row r="41" spans="2:3" ht="15" hidden="1" customHeight="1" x14ac:dyDescent="0.25">
      <c r="B41" s="99">
        <v>18</v>
      </c>
      <c r="C41" s="92">
        <f>IF(B41&lt;='1) Project Information'!D$14,(1/(1+(IF('1) Project Information'!$E$17&gt;0,'1) Project Information'!$E$17,'1) Project Information'!$D$17)))^B41)*#REF!,0)</f>
        <v>0</v>
      </c>
    </row>
    <row r="42" spans="2:3" ht="15" hidden="1" customHeight="1" x14ac:dyDescent="0.25">
      <c r="B42" s="99">
        <v>19</v>
      </c>
      <c r="C42" s="92">
        <f>IF(B42&lt;='1) Project Information'!D$14,(1/(1+(IF('1) Project Information'!$E$17&gt;0,'1) Project Information'!$E$17,'1) Project Information'!$D$17)))^B42)*#REF!,0)</f>
        <v>0</v>
      </c>
    </row>
    <row r="43" spans="2:3" ht="15" hidden="1" customHeight="1" x14ac:dyDescent="0.25">
      <c r="B43" s="99">
        <v>20</v>
      </c>
      <c r="C43" s="92">
        <f>IF(B43&lt;='1) Project Information'!D$14,(1/(1+(IF('1) Project Information'!$E$17&gt;0,'1) Project Information'!$E$17,'1) Project Information'!$D$17)))^B43)*#REF!,0)</f>
        <v>0</v>
      </c>
    </row>
    <row r="44" spans="2:3" hidden="1" x14ac:dyDescent="0.25">
      <c r="B44" s="99">
        <v>21</v>
      </c>
      <c r="C44" s="92">
        <f>IF(B44&lt;='1) Project Information'!D$14,(1/(1+(IF('1) Project Information'!$E$17&gt;0,'1) Project Information'!$E$17,'1) Project Information'!$D$17)))^B44)*#REF!,0)</f>
        <v>0</v>
      </c>
    </row>
    <row r="45" spans="2:3" hidden="1" x14ac:dyDescent="0.25">
      <c r="B45" s="99">
        <v>22</v>
      </c>
      <c r="C45" s="92">
        <f>IF(B45&lt;='1) Project Information'!D$14,(1/(1+(IF('1) Project Information'!$E$17&gt;0,'1) Project Information'!$E$17,'1) Project Information'!$D$17)))^B45)*#REF!,0)</f>
        <v>0</v>
      </c>
    </row>
    <row r="46" spans="2:3" hidden="1" x14ac:dyDescent="0.25">
      <c r="B46" s="99">
        <v>23</v>
      </c>
      <c r="C46" s="92">
        <f>IF(B46&lt;='1) Project Information'!D$14,(1/(1+(IF('1) Project Information'!$E$17&gt;0,'1) Project Information'!$E$17,'1) Project Information'!$D$17)))^B46)*#REF!,0)</f>
        <v>0</v>
      </c>
    </row>
    <row r="47" spans="2:3" hidden="1" x14ac:dyDescent="0.25">
      <c r="B47" s="99">
        <v>24</v>
      </c>
      <c r="C47" s="92">
        <f>IF(B47&lt;='1) Project Information'!D$14,(1/(1+(IF('1) Project Information'!$E$17&gt;0,'1) Project Information'!$E$17,'1) Project Information'!$D$17)))^B47)*#REF!,0)</f>
        <v>0</v>
      </c>
    </row>
    <row r="48" spans="2:3" hidden="1" x14ac:dyDescent="0.25">
      <c r="B48" s="99">
        <v>25</v>
      </c>
      <c r="C48" s="92">
        <f>IF(B48&lt;='1) Project Information'!D$14,(1/(1+(IF('1) Project Information'!$E$17&gt;0,'1) Project Information'!$E$17,'1) Project Information'!$D$17)))^B48)*#REF!,0)</f>
        <v>0</v>
      </c>
    </row>
    <row r="49" spans="2:3" hidden="1" x14ac:dyDescent="0.25">
      <c r="B49" s="99">
        <v>26</v>
      </c>
      <c r="C49" s="92">
        <f>IF(B49&lt;='1) Project Information'!D$14,(1/(1+(IF('1) Project Information'!$E$17&gt;0,'1) Project Information'!$E$17,'1) Project Information'!$D$17)))^B49)*#REF!,0)</f>
        <v>0</v>
      </c>
    </row>
    <row r="50" spans="2:3" hidden="1" x14ac:dyDescent="0.25">
      <c r="B50" s="99">
        <v>27</v>
      </c>
      <c r="C50" s="92">
        <f>IF(B50&lt;='1) Project Information'!D$14,(1/(1+(IF('1) Project Information'!$E$17&gt;0,'1) Project Information'!$E$17,'1) Project Information'!$D$17)))^B50)*#REF!,0)</f>
        <v>0</v>
      </c>
    </row>
    <row r="51" spans="2:3" hidden="1" x14ac:dyDescent="0.25">
      <c r="B51" s="99">
        <v>28</v>
      </c>
      <c r="C51" s="92">
        <f>IF(B51&lt;='1) Project Information'!D$14,(1/(1+(IF('1) Project Information'!$E$17&gt;0,'1) Project Information'!$E$17,'1) Project Information'!$D$17)))^B51)*#REF!,0)</f>
        <v>0</v>
      </c>
    </row>
    <row r="52" spans="2:3" hidden="1" x14ac:dyDescent="0.25">
      <c r="B52" s="99">
        <v>29</v>
      </c>
      <c r="C52" s="92">
        <f>IF(B52&lt;='1) Project Information'!D$14,(1/(1+(IF('1) Project Information'!$E$17&gt;0,'1) Project Information'!$E$17,'1) Project Information'!$D$17)))^B52)*#REF!,0)</f>
        <v>0</v>
      </c>
    </row>
    <row r="53" spans="2:3" hidden="1" x14ac:dyDescent="0.25">
      <c r="B53" s="99">
        <v>30</v>
      </c>
      <c r="C53" s="92">
        <f>IF(B53&lt;='1) Project Information'!D$14,(1/(1+(IF('1) Project Information'!$E$17&gt;0,'1) Project Information'!$E$17,'1) Project Information'!$D$17)))^B53)*#REF!,0)</f>
        <v>0</v>
      </c>
    </row>
    <row r="54" spans="2:3" hidden="1" x14ac:dyDescent="0.25">
      <c r="B54" s="99">
        <v>31</v>
      </c>
      <c r="C54" s="92">
        <f>IF(B54&lt;='1) Project Information'!D$14,(1/(1+(IF('1) Project Information'!$E$17&gt;0,'1) Project Information'!$E$17,'1) Project Information'!$D$17)))^B54)*#REF!,0)</f>
        <v>0</v>
      </c>
    </row>
    <row r="55" spans="2:3" hidden="1" x14ac:dyDescent="0.25">
      <c r="B55" s="99">
        <v>32</v>
      </c>
      <c r="C55" s="92">
        <f>IF(B55&lt;='1) Project Information'!D$14,(1/(1+(IF('1) Project Information'!$E$17&gt;0,'1) Project Information'!$E$17,'1) Project Information'!$D$17)))^B55)*#REF!,0)</f>
        <v>0</v>
      </c>
    </row>
    <row r="56" spans="2:3" hidden="1" x14ac:dyDescent="0.25">
      <c r="B56" s="99">
        <v>33</v>
      </c>
      <c r="C56" s="92">
        <f>IF(B56&lt;='1) Project Information'!D$14,(1/(1+(IF('1) Project Information'!$E$17&gt;0,'1) Project Information'!$E$17,'1) Project Information'!$D$17)))^B56)*#REF!,0)</f>
        <v>0</v>
      </c>
    </row>
    <row r="57" spans="2:3" hidden="1" x14ac:dyDescent="0.25">
      <c r="B57" s="99">
        <v>34</v>
      </c>
      <c r="C57" s="92">
        <f>IF(B57&lt;='1) Project Information'!D$14,(1/(1+(IF('1) Project Information'!$E$17&gt;0,'1) Project Information'!$E$17,'1) Project Information'!$D$17)))^B57)*#REF!,0)</f>
        <v>0</v>
      </c>
    </row>
    <row r="58" spans="2:3" hidden="1" x14ac:dyDescent="0.25">
      <c r="B58" s="99">
        <v>35</v>
      </c>
      <c r="C58" s="92">
        <f>IF(B58&lt;='1) Project Information'!D$14,(1/(1+(IF('1) Project Information'!$E$17&gt;0,'1) Project Information'!$E$17,'1) Project Information'!$D$17)))^B58)*#REF!,0)</f>
        <v>0</v>
      </c>
    </row>
    <row r="59" spans="2:3" hidden="1" x14ac:dyDescent="0.25">
      <c r="B59" s="99">
        <v>36</v>
      </c>
      <c r="C59" s="92">
        <f>IF(B59&lt;='1) Project Information'!D$14,(1/(1+(IF('1) Project Information'!$E$17&gt;0,'1) Project Information'!$E$17,'1) Project Information'!$D$17)))^B59)*#REF!,0)</f>
        <v>0</v>
      </c>
    </row>
    <row r="60" spans="2:3" hidden="1" x14ac:dyDescent="0.25">
      <c r="B60" s="99">
        <v>37</v>
      </c>
      <c r="C60" s="92">
        <f>IF(B60&lt;='1) Project Information'!D$14,(1/(1+(IF('1) Project Information'!$E$17&gt;0,'1) Project Information'!$E$17,'1) Project Information'!$D$17)))^B60)*#REF!,0)</f>
        <v>0</v>
      </c>
    </row>
    <row r="61" spans="2:3" hidden="1" x14ac:dyDescent="0.25">
      <c r="B61" s="99">
        <v>38</v>
      </c>
      <c r="C61" s="92">
        <f>IF(B61&lt;='1) Project Information'!D$14,(1/(1+(IF('1) Project Information'!$E$17&gt;0,'1) Project Information'!$E$17,'1) Project Information'!$D$17)))^B61)*#REF!,0)</f>
        <v>0</v>
      </c>
    </row>
    <row r="62" spans="2:3" hidden="1" x14ac:dyDescent="0.25">
      <c r="B62" s="99">
        <v>39</v>
      </c>
      <c r="C62" s="92">
        <f>IF(B62&lt;='1) Project Information'!D$14,(1/(1+(IF('1) Project Information'!$E$17&gt;0,'1) Project Information'!$E$17,'1) Project Information'!$D$17)))^B62)*#REF!,0)</f>
        <v>0</v>
      </c>
    </row>
    <row r="63" spans="2:3" hidden="1" x14ac:dyDescent="0.25">
      <c r="B63" s="99">
        <v>40</v>
      </c>
      <c r="C63" s="92">
        <f>IF(B63&lt;='1) Project Information'!D$14,(1/(1+(IF('1) Project Information'!$E$17&gt;0,'1) Project Information'!$E$17,'1) Project Information'!$D$17)))^B63)*#REF!,0)</f>
        <v>0</v>
      </c>
    </row>
    <row r="64" spans="2:3" hidden="1" x14ac:dyDescent="0.25">
      <c r="B64" s="99">
        <v>41</v>
      </c>
      <c r="C64" s="92">
        <f>IF(B64&lt;='1) Project Information'!D$14,(1/(1+(IF('1) Project Information'!$E$17&gt;0,'1) Project Information'!$E$17,'1) Project Information'!$D$17)))^B64)*#REF!,0)</f>
        <v>0</v>
      </c>
    </row>
    <row r="65" spans="2:3" hidden="1" x14ac:dyDescent="0.25">
      <c r="B65" s="99">
        <v>42</v>
      </c>
      <c r="C65" s="92">
        <f>IF(B65&lt;='1) Project Information'!D$14,(1/(1+(IF('1) Project Information'!$E$17&gt;0,'1) Project Information'!$E$17,'1) Project Information'!$D$17)))^B65)*#REF!,0)</f>
        <v>0</v>
      </c>
    </row>
    <row r="66" spans="2:3" hidden="1" x14ac:dyDescent="0.25">
      <c r="B66" s="99">
        <v>43</v>
      </c>
      <c r="C66" s="92">
        <f>IF(B66&lt;='1) Project Information'!D$14,(1/(1+(IF('1) Project Information'!$E$17&gt;0,'1) Project Information'!$E$17,'1) Project Information'!$D$17)))^B66)*#REF!,0)</f>
        <v>0</v>
      </c>
    </row>
    <row r="67" spans="2:3" hidden="1" x14ac:dyDescent="0.25">
      <c r="B67" s="99">
        <v>44</v>
      </c>
      <c r="C67" s="92">
        <f>IF(B67&lt;='1) Project Information'!D$14,(1/(1+(IF('1) Project Information'!$E$17&gt;0,'1) Project Information'!$E$17,'1) Project Information'!$D$17)))^B67)*#REF!,0)</f>
        <v>0</v>
      </c>
    </row>
    <row r="68" spans="2:3" hidden="1" x14ac:dyDescent="0.25">
      <c r="B68" s="99">
        <v>45</v>
      </c>
      <c r="C68" s="92">
        <f>IF(B68&lt;='1) Project Information'!D$14,(1/(1+(IF('1) Project Information'!$E$17&gt;0,'1) Project Information'!$E$17,'1) Project Information'!$D$17)))^B68)*#REF!,0)</f>
        <v>0</v>
      </c>
    </row>
    <row r="69" spans="2:3" hidden="1" x14ac:dyDescent="0.25">
      <c r="B69" s="99">
        <v>46</v>
      </c>
      <c r="C69" s="92">
        <f>IF(B69&lt;='1) Project Information'!D$14,(1/(1+(IF('1) Project Information'!$E$17&gt;0,'1) Project Information'!$E$17,'1) Project Information'!$D$17)))^B69)*#REF!,0)</f>
        <v>0</v>
      </c>
    </row>
    <row r="70" spans="2:3" hidden="1" x14ac:dyDescent="0.25">
      <c r="B70" s="99">
        <v>47</v>
      </c>
      <c r="C70" s="92">
        <f>IF(B70&lt;='1) Project Information'!D$14,(1/(1+(IF('1) Project Information'!$E$17&gt;0,'1) Project Information'!$E$17,'1) Project Information'!$D$17)))^B70)*#REF!,0)</f>
        <v>0</v>
      </c>
    </row>
    <row r="71" spans="2:3" hidden="1" x14ac:dyDescent="0.25">
      <c r="B71" s="99">
        <v>48</v>
      </c>
      <c r="C71" s="92">
        <f>IF(B71&lt;='1) Project Information'!D$14,(1/(1+(IF('1) Project Information'!$E$17&gt;0,'1) Project Information'!$E$17,'1) Project Information'!$D$17)))^B71)*#REF!,0)</f>
        <v>0</v>
      </c>
    </row>
    <row r="72" spans="2:3" hidden="1" x14ac:dyDescent="0.25">
      <c r="B72" s="99">
        <v>49</v>
      </c>
      <c r="C72" s="92">
        <f>IF(B72&lt;='1) Project Information'!D$14,(1/(1+(IF('1) Project Information'!$E$17&gt;0,'1) Project Information'!$E$17,'1) Project Information'!$D$17)))^B72)*#REF!,0)</f>
        <v>0</v>
      </c>
    </row>
    <row r="73" spans="2:3" hidden="1" x14ac:dyDescent="0.25">
      <c r="B73" s="99">
        <v>50</v>
      </c>
      <c r="C73" s="92">
        <f>IF(B73&lt;='1) Project Information'!D$14,(1/(1+(IF('1) Project Information'!$E$17&gt;0,'1) Project Information'!$E$17,'1) Project Information'!$D$17)))^B73)*#REF!,0)</f>
        <v>0</v>
      </c>
    </row>
    <row r="74" spans="2:3" hidden="1" x14ac:dyDescent="0.25">
      <c r="C74" s="107">
        <f>SUM(C24:C73)</f>
        <v>0</v>
      </c>
    </row>
  </sheetData>
  <sheetProtection algorithmName="SHA-512" hashValue="2ZF2f3kjAvqwha1G1zbLoXXnocevw7S/g/djQhaxecwhAbZuDdWK6LH4RzxFZo0qEhrWIrUXcUzzhkSEqr4atA==" saltValue="54lLD8SBVPuTOpcRxfQHGQ==" spinCount="100000" sheet="1" objects="1" scenarios="1"/>
  <mergeCells count="2">
    <mergeCell ref="B16:D16"/>
    <mergeCell ref="B18:D18"/>
  </mergeCells>
  <pageMargins left="0.7" right="0.7" top="0.75" bottom="0.75" header="0.3" footer="0.3"/>
  <pageSetup scale="50" orientation="landscape"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4" tint="0.79998168889431442"/>
    <pageSetUpPr fitToPage="1"/>
  </sheetPr>
  <dimension ref="A1:P156"/>
  <sheetViews>
    <sheetView zoomScale="40" zoomScaleNormal="40" workbookViewId="0"/>
  </sheetViews>
  <sheetFormatPr defaultColWidth="9.140625" defaultRowHeight="15" x14ac:dyDescent="0.25"/>
  <cols>
    <col min="1" max="1" width="10.85546875" style="61" customWidth="1"/>
    <col min="2" max="2" width="36.140625" style="61" customWidth="1"/>
    <col min="3" max="9" width="15.7109375" style="61" customWidth="1"/>
    <col min="10" max="10" width="17.5703125" style="61" customWidth="1"/>
    <col min="11" max="12" width="14" style="61" customWidth="1"/>
    <col min="13" max="13" width="25.42578125" style="61" customWidth="1"/>
    <col min="14" max="14" width="19.28515625" style="61" customWidth="1"/>
    <col min="15" max="15" width="29" style="61" customWidth="1"/>
    <col min="16" max="16" width="20.5703125" style="61" customWidth="1"/>
    <col min="17" max="16384" width="9.140625" style="61"/>
  </cols>
  <sheetData>
    <row r="1" spans="1:16" ht="53.25" x14ac:dyDescent="1">
      <c r="B1" s="113" t="s">
        <v>112</v>
      </c>
      <c r="C1" s="76"/>
      <c r="D1" s="76"/>
      <c r="E1" s="76"/>
      <c r="F1" s="76"/>
      <c r="G1" s="76"/>
      <c r="H1" s="76"/>
      <c r="I1" s="76"/>
      <c r="J1" s="76"/>
      <c r="K1" s="76"/>
    </row>
    <row r="2" spans="1:16" ht="36" x14ac:dyDescent="0.25">
      <c r="B2" s="116" t="s">
        <v>116</v>
      </c>
      <c r="O2" s="114" t="s">
        <v>119</v>
      </c>
    </row>
    <row r="3" spans="1:16" ht="27.75" x14ac:dyDescent="0.35">
      <c r="A3" s="110"/>
      <c r="O3" s="115" t="s">
        <v>120</v>
      </c>
      <c r="P3" s="124">
        <v>0</v>
      </c>
    </row>
    <row r="4" spans="1:16" ht="27.75" x14ac:dyDescent="0.35">
      <c r="A4" s="84"/>
      <c r="B4" s="78" t="s">
        <v>92</v>
      </c>
      <c r="C4" s="78"/>
      <c r="D4" s="78"/>
      <c r="E4" s="78"/>
      <c r="F4" s="80" t="s">
        <v>188</v>
      </c>
      <c r="G4" s="78"/>
      <c r="H4" s="78"/>
      <c r="I4" s="78"/>
      <c r="J4" s="78"/>
      <c r="K4" s="78"/>
      <c r="L4" s="78"/>
      <c r="M4" s="78"/>
      <c r="O4" s="123" t="s">
        <v>168</v>
      </c>
      <c r="P4" s="125">
        <f>'2) Project Crash Data'!K36</f>
        <v>0</v>
      </c>
    </row>
    <row r="5" spans="1:16" ht="27.75" x14ac:dyDescent="0.35">
      <c r="A5" s="84"/>
      <c r="B5" s="84"/>
      <c r="C5" s="84"/>
      <c r="D5" s="84"/>
      <c r="E5" s="84"/>
      <c r="F5" s="84"/>
      <c r="G5" s="84"/>
      <c r="H5" s="84"/>
      <c r="I5" s="84"/>
      <c r="J5" s="84"/>
      <c r="K5" s="84"/>
      <c r="O5" s="123" t="s">
        <v>171</v>
      </c>
      <c r="P5" s="153">
        <f>'2) Project Crash Data'!K37</f>
        <v>0</v>
      </c>
    </row>
    <row r="6" spans="1:16" ht="23.25" x14ac:dyDescent="0.35">
      <c r="A6" s="84"/>
      <c r="B6" s="83" t="s">
        <v>130</v>
      </c>
      <c r="C6" s="84"/>
      <c r="D6" s="84"/>
      <c r="E6" s="84"/>
      <c r="F6" s="84"/>
      <c r="G6" s="84"/>
      <c r="H6" s="84"/>
      <c r="I6" s="84"/>
      <c r="J6" s="84"/>
      <c r="K6" s="84"/>
    </row>
    <row r="7" spans="1:16" ht="50.25" customHeight="1" x14ac:dyDescent="0.35">
      <c r="A7" s="84"/>
      <c r="B7" s="96" t="str">
        <f>'2) Project Crash Data'!B31</f>
        <v>Injury Severity Scale</v>
      </c>
      <c r="C7" s="683" t="s">
        <v>187</v>
      </c>
      <c r="D7" s="684"/>
      <c r="E7" s="685"/>
      <c r="F7" s="84"/>
      <c r="G7" s="84"/>
      <c r="H7" s="84"/>
      <c r="I7" s="84"/>
      <c r="J7" s="84"/>
      <c r="K7" s="84"/>
    </row>
    <row r="8" spans="1:16" ht="35.1" customHeight="1" x14ac:dyDescent="0.35">
      <c r="A8" s="84"/>
      <c r="B8" s="84" t="str">
        <f>'2) Project Crash Data'!B32</f>
        <v>K</v>
      </c>
      <c r="C8" s="680">
        <f>IF('2) Project Crash Data'!G32&gt;0,'2) Project Crash Data'!G32,'2) Project Crash Data'!F32)</f>
        <v>0</v>
      </c>
      <c r="D8" s="681"/>
      <c r="E8" s="682"/>
      <c r="F8" s="84"/>
      <c r="G8" s="84"/>
      <c r="H8" s="84"/>
      <c r="I8" s="84"/>
      <c r="J8" s="84"/>
      <c r="K8" s="84"/>
    </row>
    <row r="9" spans="1:16" ht="35.1" customHeight="1" x14ac:dyDescent="0.35">
      <c r="A9" s="84"/>
      <c r="B9" s="84" t="str">
        <f>'2) Project Crash Data'!B33</f>
        <v>A</v>
      </c>
      <c r="C9" s="680">
        <f>IF('2) Project Crash Data'!G33&gt;0,'2) Project Crash Data'!G33,'2) Project Crash Data'!F33)</f>
        <v>0</v>
      </c>
      <c r="D9" s="681"/>
      <c r="E9" s="682"/>
      <c r="F9" s="84"/>
      <c r="G9" s="84"/>
      <c r="H9" s="84"/>
      <c r="I9" s="84"/>
      <c r="J9" s="84"/>
      <c r="K9" s="84"/>
    </row>
    <row r="10" spans="1:16" ht="35.1" customHeight="1" x14ac:dyDescent="0.35">
      <c r="A10" s="84"/>
      <c r="B10" s="84" t="str">
        <f>'2) Project Crash Data'!B34</f>
        <v>B</v>
      </c>
      <c r="C10" s="680">
        <f>IF('2) Project Crash Data'!G34&gt;0,'2) Project Crash Data'!G34,'2) Project Crash Data'!F34)</f>
        <v>0</v>
      </c>
      <c r="D10" s="681"/>
      <c r="E10" s="682"/>
      <c r="F10" s="84"/>
      <c r="G10" s="84"/>
      <c r="H10" s="84"/>
      <c r="I10" s="84"/>
      <c r="J10" s="84"/>
      <c r="K10" s="84"/>
    </row>
    <row r="11" spans="1:16" ht="35.1" customHeight="1" x14ac:dyDescent="0.35">
      <c r="A11" s="84"/>
      <c r="B11" s="84" t="str">
        <f>'2) Project Crash Data'!B35</f>
        <v>C</v>
      </c>
      <c r="C11" s="680">
        <f>IF('2) Project Crash Data'!G35&gt;0,'2) Project Crash Data'!G35,'2) Project Crash Data'!F35)</f>
        <v>0</v>
      </c>
      <c r="D11" s="681"/>
      <c r="E11" s="682"/>
      <c r="F11" s="84"/>
      <c r="G11" s="84"/>
      <c r="H11" s="84"/>
      <c r="I11" s="84"/>
      <c r="J11" s="84"/>
      <c r="K11" s="84"/>
    </row>
    <row r="12" spans="1:16" ht="35.1" customHeight="1" x14ac:dyDescent="0.35">
      <c r="A12" s="84"/>
      <c r="B12" s="84" t="str">
        <f>'2) Project Crash Data'!B36</f>
        <v>O</v>
      </c>
      <c r="C12" s="680">
        <f>IF('2) Project Crash Data'!G36&gt;0,'2) Project Crash Data'!G36,'2) Project Crash Data'!F36)</f>
        <v>0</v>
      </c>
      <c r="D12" s="681"/>
      <c r="E12" s="682"/>
      <c r="F12" s="84"/>
      <c r="G12" s="84"/>
      <c r="H12" s="84"/>
      <c r="I12" s="84"/>
      <c r="J12" s="84"/>
      <c r="K12" s="84"/>
    </row>
    <row r="13" spans="1:16" ht="35.1" customHeight="1" x14ac:dyDescent="0.35">
      <c r="A13" s="84"/>
      <c r="B13" s="84"/>
      <c r="C13" s="84"/>
      <c r="D13" s="84"/>
      <c r="E13" s="84"/>
      <c r="F13" s="84"/>
      <c r="G13" s="84"/>
      <c r="H13" s="84"/>
      <c r="I13" s="84"/>
      <c r="J13" s="84"/>
      <c r="K13" s="84"/>
    </row>
    <row r="14" spans="1:16" ht="35.1" customHeight="1" x14ac:dyDescent="0.35">
      <c r="A14" s="84"/>
      <c r="B14" s="212" t="s">
        <v>129</v>
      </c>
      <c r="C14" s="120"/>
      <c r="D14" s="120"/>
      <c r="E14" s="120"/>
      <c r="F14" s="120"/>
      <c r="G14" s="120"/>
      <c r="H14" s="120"/>
      <c r="I14" s="120"/>
      <c r="J14" s="84"/>
      <c r="K14" s="84"/>
    </row>
    <row r="15" spans="1:16" ht="35.1" customHeight="1" x14ac:dyDescent="0.35">
      <c r="A15" s="84"/>
      <c r="B15" s="214"/>
      <c r="C15" s="215" t="str">
        <f>Lookup!AH8</f>
        <v>CO2</v>
      </c>
      <c r="D15" s="215" t="str">
        <f>Lookup!AI8</f>
        <v>CO</v>
      </c>
      <c r="E15" s="215" t="str">
        <f>Lookup!AJ8</f>
        <v>NOx</v>
      </c>
      <c r="F15" s="215" t="str">
        <f>Lookup!AK8</f>
        <v>PM10</v>
      </c>
      <c r="G15" s="215" t="str">
        <f>Lookup!AL8</f>
        <v>PM2.5</v>
      </c>
      <c r="H15" s="215" t="str">
        <f>Lookup!AM8</f>
        <v>SO2</v>
      </c>
      <c r="I15" s="215" t="str">
        <f>Lookup!AN8</f>
        <v>VOC</v>
      </c>
      <c r="J15" s="84"/>
      <c r="K15" s="84"/>
    </row>
    <row r="16" spans="1:16" ht="35.1" customHeight="1" x14ac:dyDescent="0.35">
      <c r="A16" s="84"/>
      <c r="B16" s="108" t="s">
        <v>210</v>
      </c>
      <c r="C16" s="134">
        <f>'3) Analysis Parameters'!D22</f>
        <v>16.369288000000001</v>
      </c>
      <c r="D16" s="134">
        <f>'3) Analysis Parameters'!E22</f>
        <v>0</v>
      </c>
      <c r="E16" s="134">
        <f>'3) Analysis Parameters'!F22</f>
        <v>3.95044</v>
      </c>
      <c r="F16" s="134">
        <f>'3) Analysis Parameters'!G22</f>
        <v>0</v>
      </c>
      <c r="G16" s="134">
        <f>'3) Analysis Parameters'!H22</f>
        <v>8.9246559999999988</v>
      </c>
      <c r="H16" s="134">
        <f>'3) Analysis Parameters'!I22</f>
        <v>1.4132560000000001</v>
      </c>
      <c r="I16" s="134">
        <f>'3) Analysis Parameters'!J22</f>
        <v>0.26707199999999998</v>
      </c>
      <c r="J16" s="464">
        <f>SUM(C16:I16)</f>
        <v>30.924712</v>
      </c>
      <c r="K16" s="84"/>
    </row>
    <row r="17" spans="1:15" ht="35.1" customHeight="1" x14ac:dyDescent="0.35">
      <c r="A17" s="84"/>
      <c r="B17" s="108" t="s">
        <v>212</v>
      </c>
      <c r="C17" s="134">
        <f>'3) Analysis Parameters'!D23</f>
        <v>7.1775600000000006</v>
      </c>
      <c r="D17" s="134">
        <f>'3) Analysis Parameters'!E23</f>
        <v>0</v>
      </c>
      <c r="E17" s="134">
        <f>'3) Analysis Parameters'!F23</f>
        <v>1.7248400000000002</v>
      </c>
      <c r="F17" s="134">
        <f>'3) Analysis Parameters'!G23</f>
        <v>0</v>
      </c>
      <c r="G17" s="134">
        <f>'3) Analysis Parameters'!H23</f>
        <v>3.7612639999999997</v>
      </c>
      <c r="H17" s="134">
        <f>'3) Analysis Parameters'!I23</f>
        <v>0.62316800000000006</v>
      </c>
      <c r="I17" s="134">
        <f>'3) Analysis Parameters'!J23</f>
        <v>0.122408</v>
      </c>
      <c r="J17" s="464">
        <f>SUM(C17:I17)</f>
        <v>13.40924</v>
      </c>
      <c r="K17" s="84"/>
    </row>
    <row r="18" spans="1:15" ht="35.1" customHeight="1" x14ac:dyDescent="0.35">
      <c r="A18" s="84"/>
      <c r="B18" s="160" t="s">
        <v>211</v>
      </c>
      <c r="C18" s="217">
        <f>'3) Analysis Parameters'!D24</f>
        <v>4.328792</v>
      </c>
      <c r="D18" s="217">
        <f>'3) Analysis Parameters'!E24</f>
        <v>0</v>
      </c>
      <c r="E18" s="217">
        <f>'3) Analysis Parameters'!F24</f>
        <v>1.0460319999999999</v>
      </c>
      <c r="F18" s="217">
        <f>'3) Analysis Parameters'!G24</f>
        <v>0</v>
      </c>
      <c r="G18" s="217">
        <f>'3) Analysis Parameters'!H24</f>
        <v>2.2478560000000001</v>
      </c>
      <c r="H18" s="217">
        <f>'3) Analysis Parameters'!I24</f>
        <v>0.35609600000000002</v>
      </c>
      <c r="I18" s="217">
        <f>'3) Analysis Parameters'!J24</f>
        <v>7.7896000000000007E-2</v>
      </c>
      <c r="J18" s="464">
        <f>SUM(C18:I18)</f>
        <v>8.0566720000000007</v>
      </c>
      <c r="K18" s="84"/>
    </row>
    <row r="19" spans="1:15" ht="35.1" customHeight="1" x14ac:dyDescent="0.35">
      <c r="A19" s="84"/>
      <c r="B19" s="216"/>
      <c r="C19" s="157"/>
      <c r="D19" s="157"/>
      <c r="E19" s="157"/>
      <c r="F19" s="157"/>
      <c r="G19" s="157"/>
      <c r="H19" s="157"/>
      <c r="I19" s="157"/>
      <c r="J19" s="84"/>
      <c r="K19" s="84"/>
    </row>
    <row r="20" spans="1:15" ht="35.1" customHeight="1" x14ac:dyDescent="0.35">
      <c r="A20" s="84"/>
      <c r="B20" s="212" t="s">
        <v>175</v>
      </c>
      <c r="C20" s="120"/>
      <c r="D20" s="120"/>
      <c r="E20" s="120"/>
      <c r="F20" s="120"/>
      <c r="G20" s="120"/>
      <c r="H20" s="120"/>
      <c r="I20" s="120"/>
      <c r="J20" s="213"/>
      <c r="K20" s="84"/>
    </row>
    <row r="21" spans="1:15" ht="35.1" customHeight="1" x14ac:dyDescent="0.35">
      <c r="A21" s="84"/>
      <c r="B21" s="214"/>
      <c r="C21" s="215" t="str">
        <f>Lookup!AH8</f>
        <v>CO2</v>
      </c>
      <c r="D21" s="215" t="str">
        <f>Lookup!AI8</f>
        <v>CO</v>
      </c>
      <c r="E21" s="215" t="str">
        <f>Lookup!AJ8</f>
        <v>NOx</v>
      </c>
      <c r="F21" s="215" t="str">
        <f>Lookup!AK8</f>
        <v>PM10</v>
      </c>
      <c r="G21" s="215" t="str">
        <f>Lookup!AL8</f>
        <v>PM2.5</v>
      </c>
      <c r="H21" s="215" t="str">
        <f>Lookup!AM8</f>
        <v>SO2</v>
      </c>
      <c r="I21" s="215" t="str">
        <f>Lookup!AN8</f>
        <v>VOC</v>
      </c>
      <c r="J21" s="215" t="s">
        <v>2</v>
      </c>
      <c r="K21" s="84"/>
    </row>
    <row r="22" spans="1:15" ht="35.1" customHeight="1" x14ac:dyDescent="0.35">
      <c r="A22" s="84"/>
      <c r="B22" s="108" t="s">
        <v>210</v>
      </c>
      <c r="C22" s="135">
        <f t="shared" ref="C22:I22" si="0">$C8*C16</f>
        <v>0</v>
      </c>
      <c r="D22" s="135">
        <f t="shared" si="0"/>
        <v>0</v>
      </c>
      <c r="E22" s="135">
        <f t="shared" si="0"/>
        <v>0</v>
      </c>
      <c r="F22" s="135">
        <f t="shared" si="0"/>
        <v>0</v>
      </c>
      <c r="G22" s="135">
        <f t="shared" si="0"/>
        <v>0</v>
      </c>
      <c r="H22" s="135">
        <f t="shared" si="0"/>
        <v>0</v>
      </c>
      <c r="I22" s="135">
        <f t="shared" si="0"/>
        <v>0</v>
      </c>
      <c r="J22" s="131">
        <f>SUM(C22:I22)</f>
        <v>0</v>
      </c>
      <c r="K22" s="84"/>
    </row>
    <row r="23" spans="1:15" ht="35.1" customHeight="1" x14ac:dyDescent="0.35">
      <c r="A23" s="84"/>
      <c r="B23" s="108" t="s">
        <v>287</v>
      </c>
      <c r="C23" s="135">
        <f>+C$17*$C9</f>
        <v>0</v>
      </c>
      <c r="D23" s="135">
        <f t="shared" ref="D23:H23" si="1">+D$17*$C9</f>
        <v>0</v>
      </c>
      <c r="E23" s="135">
        <f t="shared" si="1"/>
        <v>0</v>
      </c>
      <c r="F23" s="135">
        <f t="shared" si="1"/>
        <v>0</v>
      </c>
      <c r="G23" s="135">
        <f t="shared" si="1"/>
        <v>0</v>
      </c>
      <c r="H23" s="135">
        <f t="shared" si="1"/>
        <v>0</v>
      </c>
      <c r="I23" s="135">
        <f t="shared" ref="I23" si="2">+I17*I9</f>
        <v>0</v>
      </c>
      <c r="J23" s="131">
        <f>SUM(C23:I23)</f>
        <v>0</v>
      </c>
      <c r="K23" s="84"/>
    </row>
    <row r="24" spans="1:15" ht="35.1" customHeight="1" x14ac:dyDescent="0.35">
      <c r="A24" s="84"/>
      <c r="B24" s="108" t="s">
        <v>288</v>
      </c>
      <c r="C24" s="135">
        <f t="shared" ref="C24:H25" si="3">+C$17*$C10</f>
        <v>0</v>
      </c>
      <c r="D24" s="135">
        <f t="shared" si="3"/>
        <v>0</v>
      </c>
      <c r="E24" s="135">
        <f t="shared" si="3"/>
        <v>0</v>
      </c>
      <c r="F24" s="135">
        <f t="shared" si="3"/>
        <v>0</v>
      </c>
      <c r="G24" s="135">
        <f t="shared" si="3"/>
        <v>0</v>
      </c>
      <c r="H24" s="135">
        <f t="shared" si="3"/>
        <v>0</v>
      </c>
      <c r="I24" s="465">
        <f t="shared" ref="I24:I25" si="4">+I17*I10</f>
        <v>0</v>
      </c>
      <c r="J24" s="466">
        <f>SUM(C24:I24)</f>
        <v>0</v>
      </c>
      <c r="K24" s="84"/>
    </row>
    <row r="25" spans="1:15" ht="35.1" customHeight="1" x14ac:dyDescent="0.35">
      <c r="A25" s="84"/>
      <c r="B25" s="108" t="s">
        <v>289</v>
      </c>
      <c r="C25" s="135">
        <f t="shared" si="3"/>
        <v>0</v>
      </c>
      <c r="D25" s="135">
        <f t="shared" si="3"/>
        <v>0</v>
      </c>
      <c r="E25" s="135">
        <f t="shared" si="3"/>
        <v>0</v>
      </c>
      <c r="F25" s="135">
        <f t="shared" si="3"/>
        <v>0</v>
      </c>
      <c r="G25" s="135">
        <f t="shared" si="3"/>
        <v>0</v>
      </c>
      <c r="H25" s="135">
        <f t="shared" si="3"/>
        <v>0</v>
      </c>
      <c r="I25" s="465">
        <f t="shared" si="4"/>
        <v>0</v>
      </c>
      <c r="J25" s="466">
        <f>SUM(C25:I25)</f>
        <v>0</v>
      </c>
      <c r="K25" s="84"/>
    </row>
    <row r="26" spans="1:15" ht="23.25" x14ac:dyDescent="0.35">
      <c r="B26" s="160" t="s">
        <v>211</v>
      </c>
      <c r="C26" s="161">
        <f t="shared" ref="C26:I26" si="5">$C12*C18</f>
        <v>0</v>
      </c>
      <c r="D26" s="161">
        <f t="shared" si="5"/>
        <v>0</v>
      </c>
      <c r="E26" s="161">
        <f t="shared" si="5"/>
        <v>0</v>
      </c>
      <c r="F26" s="161">
        <f t="shared" si="5"/>
        <v>0</v>
      </c>
      <c r="G26" s="161">
        <f t="shared" si="5"/>
        <v>0</v>
      </c>
      <c r="H26" s="161">
        <f t="shared" si="5"/>
        <v>0</v>
      </c>
      <c r="I26" s="161">
        <f t="shared" si="5"/>
        <v>0</v>
      </c>
      <c r="J26" s="162">
        <f>SUM(C26:I26)</f>
        <v>0</v>
      </c>
    </row>
    <row r="27" spans="1:15" ht="23.25" x14ac:dyDescent="0.35">
      <c r="A27" s="413"/>
      <c r="B27" s="121"/>
      <c r="C27" s="157" t="s">
        <v>17</v>
      </c>
      <c r="D27" s="157"/>
      <c r="E27" s="158" t="s">
        <v>181</v>
      </c>
      <c r="F27" s="74"/>
      <c r="G27" s="157"/>
      <c r="H27" s="158"/>
      <c r="I27" s="157"/>
      <c r="J27" s="159">
        <f>SUM(J22:J26)</f>
        <v>0</v>
      </c>
      <c r="K27" s="413"/>
      <c r="L27" s="413"/>
      <c r="M27" s="413"/>
      <c r="N27" s="413"/>
      <c r="O27" s="413"/>
    </row>
    <row r="28" spans="1:15" hidden="1" x14ac:dyDescent="0.25">
      <c r="A28" s="413"/>
      <c r="B28" s="452" t="s">
        <v>27</v>
      </c>
      <c r="C28" s="452" t="s">
        <v>28</v>
      </c>
      <c r="D28" s="413"/>
      <c r="E28" s="413"/>
      <c r="F28" s="413"/>
      <c r="G28" s="413"/>
      <c r="H28" s="413"/>
      <c r="I28" s="413"/>
      <c r="J28" s="413"/>
      <c r="K28" s="413"/>
      <c r="L28" s="413"/>
      <c r="M28" s="413"/>
      <c r="N28" s="413"/>
      <c r="O28" s="413"/>
    </row>
    <row r="29" spans="1:15" hidden="1" x14ac:dyDescent="0.25">
      <c r="A29" s="413"/>
      <c r="B29" s="453">
        <v>1</v>
      </c>
      <c r="C29" s="454">
        <f>IF(B29&lt;='1) Project Information'!D$14,(1/(1+(IF('1) Project Information'!$E$17&gt;0,'1) Project Information'!$E$17,'1) Project Information'!$D$17)))^B29)*J$25,0)</f>
        <v>0</v>
      </c>
      <c r="D29" s="413"/>
      <c r="E29" s="413"/>
      <c r="F29" s="413"/>
      <c r="G29" s="413"/>
      <c r="H29" s="413"/>
      <c r="I29" s="413"/>
      <c r="J29" s="413"/>
      <c r="K29" s="413"/>
      <c r="L29" s="413"/>
      <c r="M29" s="413"/>
      <c r="N29" s="413"/>
      <c r="O29" s="413"/>
    </row>
    <row r="30" spans="1:15" hidden="1" x14ac:dyDescent="0.25">
      <c r="A30" s="413"/>
      <c r="B30" s="453">
        <v>2</v>
      </c>
      <c r="C30" s="454">
        <f>IF(B30&lt;='1) Project Information'!D$14,(1/(1+(IF('1) Project Information'!$E$17&gt;0,'1) Project Information'!$E$17,'1) Project Information'!$D$17)))^B30)*J$25,0)</f>
        <v>0</v>
      </c>
      <c r="D30" s="413"/>
      <c r="E30" s="413"/>
      <c r="F30" s="413"/>
      <c r="G30" s="413"/>
      <c r="H30" s="413"/>
      <c r="I30" s="413"/>
      <c r="J30" s="413"/>
      <c r="K30" s="413"/>
      <c r="L30" s="413"/>
      <c r="M30" s="413"/>
      <c r="N30" s="413"/>
      <c r="O30" s="413"/>
    </row>
    <row r="31" spans="1:15" hidden="1" x14ac:dyDescent="0.25">
      <c r="A31" s="413"/>
      <c r="B31" s="453">
        <v>3</v>
      </c>
      <c r="C31" s="454">
        <f>IF(B31&lt;='1) Project Information'!D$14,(1/(1+(IF('1) Project Information'!$E$17&gt;0,'1) Project Information'!$E$17,'1) Project Information'!$D$17)))^B31)*J$25,0)</f>
        <v>0</v>
      </c>
      <c r="D31" s="413"/>
      <c r="E31" s="413"/>
      <c r="F31" s="413"/>
      <c r="G31" s="413"/>
      <c r="H31" s="413"/>
      <c r="I31" s="413"/>
      <c r="J31" s="413"/>
      <c r="K31" s="413"/>
      <c r="L31" s="413"/>
      <c r="M31" s="413"/>
      <c r="N31" s="413"/>
      <c r="O31" s="413"/>
    </row>
    <row r="32" spans="1:15" hidden="1" x14ac:dyDescent="0.25">
      <c r="A32" s="413"/>
      <c r="B32" s="453">
        <v>4</v>
      </c>
      <c r="C32" s="454">
        <f>IF(B32&lt;='1) Project Information'!D$14,(1/(1+(IF('1) Project Information'!$E$17&gt;0,'1) Project Information'!$E$17,'1) Project Information'!$D$17)))^B32)*J$25,0)</f>
        <v>0</v>
      </c>
      <c r="D32" s="413"/>
      <c r="E32" s="413"/>
      <c r="F32" s="413"/>
      <c r="G32" s="413"/>
      <c r="H32" s="413"/>
      <c r="I32" s="413"/>
      <c r="J32" s="413"/>
      <c r="K32" s="413"/>
      <c r="L32" s="413"/>
      <c r="M32" s="413"/>
      <c r="N32" s="413"/>
      <c r="O32" s="413"/>
    </row>
    <row r="33" spans="1:15" hidden="1" x14ac:dyDescent="0.25">
      <c r="A33" s="413"/>
      <c r="B33" s="453">
        <v>5</v>
      </c>
      <c r="C33" s="454">
        <f>IF(B33&lt;='1) Project Information'!D$14,(1/(1+(IF('1) Project Information'!$E$17&gt;0,'1) Project Information'!$E$17,'1) Project Information'!$D$17)))^B33)*J$25,0)</f>
        <v>0</v>
      </c>
      <c r="D33" s="413"/>
      <c r="E33" s="413"/>
      <c r="F33" s="413"/>
      <c r="G33" s="413"/>
      <c r="H33" s="413"/>
      <c r="I33" s="413"/>
      <c r="J33" s="413"/>
      <c r="K33" s="413"/>
      <c r="L33" s="413"/>
      <c r="M33" s="413"/>
      <c r="N33" s="413"/>
      <c r="O33" s="413"/>
    </row>
    <row r="34" spans="1:15" hidden="1" x14ac:dyDescent="0.25">
      <c r="A34" s="413"/>
      <c r="B34" s="453">
        <v>6</v>
      </c>
      <c r="C34" s="454">
        <f>IF(B34&lt;='1) Project Information'!D$14,(1/(1+(IF('1) Project Information'!$E$17&gt;0,'1) Project Information'!$E$17,'1) Project Information'!$D$17)))^B34)*J$25,0)</f>
        <v>0</v>
      </c>
      <c r="D34" s="413"/>
      <c r="E34" s="413"/>
      <c r="F34" s="413"/>
      <c r="G34" s="413"/>
      <c r="H34" s="413"/>
      <c r="I34" s="413"/>
      <c r="J34" s="413"/>
      <c r="K34" s="413"/>
      <c r="L34" s="413"/>
      <c r="M34" s="413"/>
      <c r="N34" s="413"/>
      <c r="O34" s="413"/>
    </row>
    <row r="35" spans="1:15" hidden="1" x14ac:dyDescent="0.25">
      <c r="A35" s="413"/>
      <c r="B35" s="453">
        <v>7</v>
      </c>
      <c r="C35" s="454">
        <f>IF(B35&lt;='1) Project Information'!D$14,(1/(1+(IF('1) Project Information'!$E$17&gt;0,'1) Project Information'!$E$17,'1) Project Information'!$D$17)))^B35)*J$25,0)</f>
        <v>0</v>
      </c>
      <c r="D35" s="413"/>
      <c r="E35" s="413"/>
      <c r="F35" s="413"/>
      <c r="G35" s="413"/>
      <c r="H35" s="413"/>
      <c r="I35" s="413"/>
      <c r="J35" s="413"/>
      <c r="K35" s="413"/>
      <c r="L35" s="413"/>
      <c r="M35" s="413"/>
      <c r="N35" s="413"/>
      <c r="O35" s="413"/>
    </row>
    <row r="36" spans="1:15" hidden="1" x14ac:dyDescent="0.25">
      <c r="A36" s="413"/>
      <c r="B36" s="453">
        <v>8</v>
      </c>
      <c r="C36" s="454">
        <f>IF(B36&lt;='1) Project Information'!D$14,(1/(1+(IF('1) Project Information'!$E$17&gt;0,'1) Project Information'!$E$17,'1) Project Information'!$D$17)))^B36)*J$25,0)</f>
        <v>0</v>
      </c>
      <c r="D36" s="413"/>
      <c r="E36" s="413"/>
      <c r="F36" s="413"/>
      <c r="G36" s="413"/>
      <c r="H36" s="413"/>
      <c r="I36" s="413"/>
      <c r="J36" s="413"/>
      <c r="K36" s="413"/>
      <c r="L36" s="413"/>
      <c r="M36" s="413"/>
      <c r="N36" s="413"/>
      <c r="O36" s="413"/>
    </row>
    <row r="37" spans="1:15" hidden="1" x14ac:dyDescent="0.25">
      <c r="A37" s="413"/>
      <c r="B37" s="453">
        <v>9</v>
      </c>
      <c r="C37" s="454">
        <f>IF(B37&lt;='1) Project Information'!D$14,(1/(1+(IF('1) Project Information'!$E$17&gt;0,'1) Project Information'!$E$17,'1) Project Information'!$D$17)))^B37)*J$25,0)</f>
        <v>0</v>
      </c>
      <c r="D37" s="413"/>
      <c r="E37" s="413"/>
      <c r="F37" s="413"/>
      <c r="G37" s="413"/>
      <c r="H37" s="413"/>
      <c r="I37" s="413"/>
      <c r="J37" s="413"/>
      <c r="K37" s="413"/>
      <c r="L37" s="413"/>
      <c r="M37" s="413"/>
      <c r="N37" s="413"/>
      <c r="O37" s="413"/>
    </row>
    <row r="38" spans="1:15" hidden="1" x14ac:dyDescent="0.25">
      <c r="A38" s="413"/>
      <c r="B38" s="453">
        <v>10</v>
      </c>
      <c r="C38" s="454">
        <f>IF(B38&lt;='1) Project Information'!D$14,(1/(1+(IF('1) Project Information'!$E$17&gt;0,'1) Project Information'!$E$17,'1) Project Information'!$D$17)))^B38)*J$25,0)</f>
        <v>0</v>
      </c>
      <c r="D38" s="413"/>
      <c r="E38" s="413"/>
      <c r="F38" s="413"/>
      <c r="G38" s="413"/>
      <c r="H38" s="413"/>
      <c r="I38" s="413"/>
      <c r="J38" s="413"/>
      <c r="K38" s="413"/>
      <c r="L38" s="413"/>
      <c r="M38" s="413"/>
      <c r="N38" s="413"/>
      <c r="O38" s="413"/>
    </row>
    <row r="39" spans="1:15" hidden="1" x14ac:dyDescent="0.25">
      <c r="A39" s="413"/>
      <c r="B39" s="453">
        <v>11</v>
      </c>
      <c r="C39" s="454">
        <f>IF(B39&lt;='1) Project Information'!D$14,(1/(1+(IF('1) Project Information'!$E$17&gt;0,'1) Project Information'!$E$17,'1) Project Information'!$D$17)))^B39)*J$25,0)</f>
        <v>0</v>
      </c>
      <c r="D39" s="413"/>
      <c r="E39" s="413"/>
      <c r="F39" s="413"/>
      <c r="G39" s="413"/>
      <c r="H39" s="413"/>
      <c r="I39" s="413"/>
      <c r="J39" s="413"/>
      <c r="K39" s="413"/>
      <c r="L39" s="413"/>
      <c r="M39" s="413"/>
      <c r="N39" s="413"/>
      <c r="O39" s="413"/>
    </row>
    <row r="40" spans="1:15" hidden="1" x14ac:dyDescent="0.25">
      <c r="A40" s="413"/>
      <c r="B40" s="453">
        <v>12</v>
      </c>
      <c r="C40" s="454">
        <f>IF(B40&lt;='1) Project Information'!D$14,(1/(1+(IF('1) Project Information'!$E$17&gt;0,'1) Project Information'!$E$17,'1) Project Information'!$D$17)))^B40)*J$25,0)</f>
        <v>0</v>
      </c>
      <c r="D40" s="413"/>
      <c r="E40" s="413"/>
      <c r="F40" s="413"/>
      <c r="G40" s="413"/>
      <c r="H40" s="413"/>
      <c r="I40" s="413"/>
      <c r="J40" s="413"/>
      <c r="K40" s="413"/>
      <c r="L40" s="413"/>
      <c r="M40" s="413"/>
      <c r="N40" s="413"/>
      <c r="O40" s="413"/>
    </row>
    <row r="41" spans="1:15" hidden="1" x14ac:dyDescent="0.25">
      <c r="A41" s="413"/>
      <c r="B41" s="453">
        <v>13</v>
      </c>
      <c r="C41" s="454">
        <f>IF(B41&lt;='1) Project Information'!D$14,(1/(1+(IF('1) Project Information'!$E$17&gt;0,'1) Project Information'!$E$17,'1) Project Information'!$D$17)))^B41)*J$25,0)</f>
        <v>0</v>
      </c>
      <c r="D41" s="413"/>
      <c r="E41" s="413"/>
      <c r="F41" s="413"/>
      <c r="G41" s="413"/>
      <c r="H41" s="413"/>
      <c r="I41" s="413"/>
      <c r="J41" s="413"/>
      <c r="K41" s="413"/>
      <c r="L41" s="413"/>
      <c r="M41" s="413"/>
      <c r="N41" s="413"/>
      <c r="O41" s="413"/>
    </row>
    <row r="42" spans="1:15" hidden="1" x14ac:dyDescent="0.25">
      <c r="A42" s="413"/>
      <c r="B42" s="453">
        <v>14</v>
      </c>
      <c r="C42" s="454">
        <f>IF(B42&lt;='1) Project Information'!D$14,(1/(1+(IF('1) Project Information'!$E$17&gt;0,'1) Project Information'!$E$17,'1) Project Information'!$D$17)))^B42)*J$25,0)</f>
        <v>0</v>
      </c>
      <c r="D42" s="413"/>
      <c r="E42" s="413"/>
      <c r="F42" s="413"/>
      <c r="G42" s="413"/>
      <c r="H42" s="413"/>
      <c r="I42" s="413"/>
      <c r="J42" s="413"/>
      <c r="K42" s="413"/>
      <c r="L42" s="413"/>
      <c r="M42" s="413"/>
      <c r="N42" s="413"/>
      <c r="O42" s="413"/>
    </row>
    <row r="43" spans="1:15" hidden="1" x14ac:dyDescent="0.25">
      <c r="A43" s="413"/>
      <c r="B43" s="453">
        <v>15</v>
      </c>
      <c r="C43" s="454">
        <f>IF(B43&lt;='1) Project Information'!D$14,(1/(1+(IF('1) Project Information'!$E$17&gt;0,'1) Project Information'!$E$17,'1) Project Information'!$D$17)))^B43)*J$25,0)</f>
        <v>0</v>
      </c>
      <c r="D43" s="413"/>
      <c r="E43" s="413"/>
      <c r="F43" s="413"/>
      <c r="G43" s="413"/>
      <c r="H43" s="413"/>
      <c r="I43" s="413"/>
      <c r="J43" s="413"/>
      <c r="K43" s="413"/>
      <c r="L43" s="413"/>
      <c r="M43" s="413"/>
      <c r="N43" s="413"/>
      <c r="O43" s="413"/>
    </row>
    <row r="44" spans="1:15" hidden="1" x14ac:dyDescent="0.25">
      <c r="A44" s="413"/>
      <c r="B44" s="453">
        <v>16</v>
      </c>
      <c r="C44" s="454">
        <f>IF(B44&lt;='1) Project Information'!D$14,(1/(1+(IF('1) Project Information'!$E$17&gt;0,'1) Project Information'!$E$17,'1) Project Information'!$D$17)))^B44)*J$25,0)</f>
        <v>0</v>
      </c>
      <c r="D44" s="413"/>
      <c r="E44" s="413"/>
      <c r="F44" s="413"/>
      <c r="G44" s="413"/>
      <c r="H44" s="413"/>
      <c r="I44" s="413"/>
      <c r="J44" s="413"/>
      <c r="K44" s="413"/>
      <c r="L44" s="413"/>
      <c r="M44" s="413"/>
      <c r="N44" s="413"/>
      <c r="O44" s="413"/>
    </row>
    <row r="45" spans="1:15" hidden="1" x14ac:dyDescent="0.25">
      <c r="A45" s="413"/>
      <c r="B45" s="453">
        <v>17</v>
      </c>
      <c r="C45" s="454">
        <f>IF(B45&lt;='1) Project Information'!D$14,(1/(1+(IF('1) Project Information'!$E$17&gt;0,'1) Project Information'!$E$17,'1) Project Information'!$D$17)))^B45)*J$25,0)</f>
        <v>0</v>
      </c>
      <c r="D45" s="413"/>
      <c r="E45" s="413"/>
      <c r="F45" s="413"/>
      <c r="G45" s="413"/>
      <c r="H45" s="413"/>
      <c r="I45" s="413"/>
      <c r="J45" s="413"/>
      <c r="K45" s="413"/>
      <c r="L45" s="413"/>
      <c r="M45" s="413"/>
      <c r="N45" s="413"/>
      <c r="O45" s="413"/>
    </row>
    <row r="46" spans="1:15" hidden="1" x14ac:dyDescent="0.25">
      <c r="A46" s="413"/>
      <c r="B46" s="453">
        <v>18</v>
      </c>
      <c r="C46" s="454">
        <f>IF(B46&lt;='1) Project Information'!D$14,(1/(1+(IF('1) Project Information'!$E$17&gt;0,'1) Project Information'!$E$17,'1) Project Information'!$D$17)))^B46)*J$25,0)</f>
        <v>0</v>
      </c>
      <c r="D46" s="413"/>
      <c r="E46" s="413"/>
      <c r="F46" s="413"/>
      <c r="G46" s="413"/>
      <c r="H46" s="413"/>
      <c r="I46" s="413"/>
      <c r="J46" s="413"/>
      <c r="K46" s="413"/>
      <c r="L46" s="413"/>
      <c r="M46" s="413"/>
      <c r="N46" s="413"/>
      <c r="O46" s="413"/>
    </row>
    <row r="47" spans="1:15" hidden="1" x14ac:dyDescent="0.25">
      <c r="A47" s="413"/>
      <c r="B47" s="453">
        <v>19</v>
      </c>
      <c r="C47" s="454">
        <f>IF(B47&lt;='1) Project Information'!D$14,(1/(1+(IF('1) Project Information'!$E$17&gt;0,'1) Project Information'!$E$17,'1) Project Information'!$D$17)))^B47)*J$25,0)</f>
        <v>0</v>
      </c>
      <c r="D47" s="413"/>
      <c r="E47" s="413"/>
      <c r="F47" s="413"/>
      <c r="G47" s="413"/>
      <c r="H47" s="413"/>
      <c r="I47" s="413"/>
      <c r="J47" s="413"/>
      <c r="K47" s="413"/>
      <c r="L47" s="413"/>
      <c r="M47" s="413"/>
      <c r="N47" s="413"/>
      <c r="O47" s="413"/>
    </row>
    <row r="48" spans="1:15" hidden="1" x14ac:dyDescent="0.25">
      <c r="A48" s="413"/>
      <c r="B48" s="453">
        <v>20</v>
      </c>
      <c r="C48" s="454">
        <f>IF(B48&lt;='1) Project Information'!D$14,(1/(1+(IF('1) Project Information'!$E$17&gt;0,'1) Project Information'!$E$17,'1) Project Information'!$D$17)))^B48)*J$25,0)</f>
        <v>0</v>
      </c>
      <c r="D48" s="413"/>
      <c r="E48" s="413"/>
      <c r="F48" s="413"/>
      <c r="G48" s="413"/>
      <c r="H48" s="413"/>
      <c r="I48" s="413"/>
      <c r="J48" s="413"/>
      <c r="K48" s="413"/>
      <c r="L48" s="413"/>
      <c r="M48" s="413"/>
      <c r="N48" s="413"/>
      <c r="O48" s="413"/>
    </row>
    <row r="49" spans="1:15" hidden="1" x14ac:dyDescent="0.25">
      <c r="A49" s="413"/>
      <c r="B49" s="453">
        <v>21</v>
      </c>
      <c r="C49" s="454">
        <f>IF(B49&lt;='1) Project Information'!D$14,(1/(1+(IF('1) Project Information'!$E$17&gt;0,'1) Project Information'!$E$17,'1) Project Information'!$D$17)))^B49)*J$25,0)</f>
        <v>0</v>
      </c>
      <c r="D49" s="413"/>
      <c r="E49" s="413"/>
      <c r="F49" s="413"/>
      <c r="G49" s="413"/>
      <c r="H49" s="413"/>
      <c r="I49" s="413"/>
      <c r="J49" s="413"/>
      <c r="K49" s="413"/>
      <c r="L49" s="413"/>
      <c r="M49" s="413"/>
      <c r="N49" s="413"/>
      <c r="O49" s="413"/>
    </row>
    <row r="50" spans="1:15" hidden="1" x14ac:dyDescent="0.25">
      <c r="A50" s="413"/>
      <c r="B50" s="453">
        <v>22</v>
      </c>
      <c r="C50" s="454">
        <f>IF(B50&lt;='1) Project Information'!D$14,(1/(1+(IF('1) Project Information'!$E$17&gt;0,'1) Project Information'!$E$17,'1) Project Information'!$D$17)))^B50)*J$25,0)</f>
        <v>0</v>
      </c>
      <c r="D50" s="413"/>
      <c r="E50" s="413"/>
      <c r="F50" s="413"/>
      <c r="G50" s="413"/>
      <c r="H50" s="413"/>
      <c r="I50" s="413"/>
      <c r="J50" s="413"/>
      <c r="K50" s="413"/>
      <c r="L50" s="413"/>
      <c r="M50" s="413"/>
      <c r="N50" s="413"/>
      <c r="O50" s="413"/>
    </row>
    <row r="51" spans="1:15" hidden="1" x14ac:dyDescent="0.25">
      <c r="A51" s="413"/>
      <c r="B51" s="453">
        <v>23</v>
      </c>
      <c r="C51" s="454">
        <f>IF(B51&lt;='1) Project Information'!D$14,(1/(1+(IF('1) Project Information'!$E$17&gt;0,'1) Project Information'!$E$17,'1) Project Information'!$D$17)))^B51)*J$25,0)</f>
        <v>0</v>
      </c>
      <c r="D51" s="413"/>
      <c r="E51" s="413"/>
      <c r="F51" s="413"/>
      <c r="G51" s="413"/>
      <c r="H51" s="413"/>
      <c r="I51" s="413"/>
      <c r="J51" s="413"/>
      <c r="K51" s="413"/>
      <c r="L51" s="413"/>
      <c r="M51" s="413"/>
      <c r="N51" s="413"/>
      <c r="O51" s="413"/>
    </row>
    <row r="52" spans="1:15" hidden="1" x14ac:dyDescent="0.25">
      <c r="A52" s="413"/>
      <c r="B52" s="453">
        <v>24</v>
      </c>
      <c r="C52" s="454">
        <f>IF(B52&lt;='1) Project Information'!D$14,(1/(1+(IF('1) Project Information'!$E$17&gt;0,'1) Project Information'!$E$17,'1) Project Information'!$D$17)))^B52)*J$25,0)</f>
        <v>0</v>
      </c>
      <c r="D52" s="413"/>
      <c r="E52" s="413"/>
      <c r="F52" s="413"/>
      <c r="G52" s="413"/>
      <c r="H52" s="413"/>
      <c r="I52" s="413"/>
      <c r="J52" s="413"/>
      <c r="K52" s="413"/>
      <c r="L52" s="413"/>
      <c r="M52" s="413"/>
      <c r="N52" s="413"/>
      <c r="O52" s="413"/>
    </row>
    <row r="53" spans="1:15" hidden="1" x14ac:dyDescent="0.25">
      <c r="A53" s="413"/>
      <c r="B53" s="453">
        <v>25</v>
      </c>
      <c r="C53" s="454">
        <f>IF(B53&lt;='1) Project Information'!D$14,(1/(1+(IF('1) Project Information'!$E$17&gt;0,'1) Project Information'!$E$17,'1) Project Information'!$D$17)))^B53)*J$25,0)</f>
        <v>0</v>
      </c>
      <c r="D53" s="413"/>
      <c r="E53" s="413"/>
      <c r="F53" s="413"/>
      <c r="G53" s="413"/>
      <c r="H53" s="413"/>
      <c r="I53" s="413"/>
      <c r="J53" s="413"/>
      <c r="K53" s="413"/>
      <c r="L53" s="413"/>
      <c r="M53" s="413"/>
      <c r="N53" s="413"/>
      <c r="O53" s="413"/>
    </row>
    <row r="54" spans="1:15" hidden="1" x14ac:dyDescent="0.25">
      <c r="A54" s="413"/>
      <c r="B54" s="453">
        <v>26</v>
      </c>
      <c r="C54" s="454">
        <f>IF(B54&lt;='1) Project Information'!D$14,(1/(1+(IF('1) Project Information'!$E$17&gt;0,'1) Project Information'!$E$17,'1) Project Information'!$D$17)))^B54)*J$25,0)</f>
        <v>0</v>
      </c>
      <c r="D54" s="413"/>
      <c r="E54" s="413"/>
      <c r="F54" s="413"/>
      <c r="G54" s="413"/>
      <c r="H54" s="413"/>
      <c r="I54" s="413"/>
      <c r="J54" s="413"/>
      <c r="K54" s="413"/>
      <c r="L54" s="413"/>
      <c r="M54" s="413"/>
      <c r="N54" s="413"/>
      <c r="O54" s="413"/>
    </row>
    <row r="55" spans="1:15" hidden="1" x14ac:dyDescent="0.25">
      <c r="A55" s="413"/>
      <c r="B55" s="453">
        <v>27</v>
      </c>
      <c r="C55" s="454">
        <f>IF(B55&lt;='1) Project Information'!D$14,(1/(1+(IF('1) Project Information'!$E$17&gt;0,'1) Project Information'!$E$17,'1) Project Information'!$D$17)))^B55)*J$25,0)</f>
        <v>0</v>
      </c>
      <c r="D55" s="413"/>
      <c r="E55" s="413"/>
      <c r="F55" s="413"/>
      <c r="G55" s="413"/>
      <c r="H55" s="413"/>
      <c r="I55" s="413"/>
      <c r="J55" s="413"/>
      <c r="K55" s="413"/>
      <c r="L55" s="413"/>
      <c r="M55" s="413"/>
      <c r="N55" s="413"/>
      <c r="O55" s="413"/>
    </row>
    <row r="56" spans="1:15" hidden="1" x14ac:dyDescent="0.25">
      <c r="A56" s="413"/>
      <c r="B56" s="453">
        <v>28</v>
      </c>
      <c r="C56" s="454">
        <f>IF(B56&lt;='1) Project Information'!D$14,(1/(1+(IF('1) Project Information'!$E$17&gt;0,'1) Project Information'!$E$17,'1) Project Information'!$D$17)))^B56)*J$25,0)</f>
        <v>0</v>
      </c>
      <c r="D56" s="413"/>
      <c r="E56" s="413"/>
      <c r="F56" s="413"/>
      <c r="G56" s="413"/>
      <c r="H56" s="413"/>
      <c r="I56" s="413"/>
      <c r="J56" s="413"/>
      <c r="K56" s="413"/>
      <c r="L56" s="413"/>
      <c r="M56" s="413"/>
      <c r="N56" s="413"/>
      <c r="O56" s="413"/>
    </row>
    <row r="57" spans="1:15" hidden="1" x14ac:dyDescent="0.25">
      <c r="A57" s="413"/>
      <c r="B57" s="453">
        <v>29</v>
      </c>
      <c r="C57" s="454">
        <f>IF(B57&lt;='1) Project Information'!D$14,(1/(1+(IF('1) Project Information'!$E$17&gt;0,'1) Project Information'!$E$17,'1) Project Information'!$D$17)))^B57)*J$25,0)</f>
        <v>0</v>
      </c>
      <c r="D57" s="413"/>
      <c r="E57" s="413"/>
      <c r="F57" s="413"/>
      <c r="G57" s="413"/>
      <c r="H57" s="413"/>
      <c r="I57" s="413"/>
      <c r="J57" s="413"/>
      <c r="K57" s="413"/>
      <c r="L57" s="413"/>
      <c r="M57" s="413"/>
      <c r="N57" s="413"/>
      <c r="O57" s="413"/>
    </row>
    <row r="58" spans="1:15" hidden="1" x14ac:dyDescent="0.25">
      <c r="A58" s="413"/>
      <c r="B58" s="453">
        <v>30</v>
      </c>
      <c r="C58" s="454">
        <f>IF(B58&lt;='1) Project Information'!D$14,(1/(1+(IF('1) Project Information'!$E$17&gt;0,'1) Project Information'!$E$17,'1) Project Information'!$D$17)))^B58)*J$25,0)</f>
        <v>0</v>
      </c>
      <c r="D58" s="413"/>
      <c r="E58" s="413"/>
      <c r="F58" s="413"/>
      <c r="G58" s="413"/>
      <c r="H58" s="413"/>
      <c r="I58" s="413"/>
      <c r="J58" s="413"/>
      <c r="K58" s="413"/>
      <c r="L58" s="413"/>
      <c r="M58" s="413"/>
      <c r="N58" s="413"/>
      <c r="O58" s="413"/>
    </row>
    <row r="59" spans="1:15" hidden="1" x14ac:dyDescent="0.25">
      <c r="A59" s="413"/>
      <c r="B59" s="453">
        <v>31</v>
      </c>
      <c r="C59" s="454">
        <f>IF(B59&lt;='1) Project Information'!D$14,(1/(1+(IF('1) Project Information'!$E$17&gt;0,'1) Project Information'!$E$17,'1) Project Information'!$D$17)))^B59)*J$25,0)</f>
        <v>0</v>
      </c>
      <c r="D59" s="413"/>
      <c r="E59" s="413"/>
      <c r="F59" s="413"/>
      <c r="G59" s="413"/>
      <c r="H59" s="413"/>
      <c r="I59" s="413"/>
      <c r="J59" s="413"/>
      <c r="K59" s="413"/>
      <c r="L59" s="413"/>
      <c r="M59" s="413"/>
      <c r="N59" s="413"/>
      <c r="O59" s="413"/>
    </row>
    <row r="60" spans="1:15" hidden="1" x14ac:dyDescent="0.25">
      <c r="A60" s="413"/>
      <c r="B60" s="453">
        <v>32</v>
      </c>
      <c r="C60" s="454">
        <f>IF(B60&lt;='1) Project Information'!D$14,(1/(1+(IF('1) Project Information'!$E$17&gt;0,'1) Project Information'!$E$17,'1) Project Information'!$D$17)))^B60)*J$25,0)</f>
        <v>0</v>
      </c>
      <c r="D60" s="413"/>
      <c r="E60" s="413"/>
      <c r="F60" s="413"/>
      <c r="G60" s="413"/>
      <c r="H60" s="413"/>
      <c r="I60" s="413"/>
      <c r="J60" s="413"/>
      <c r="K60" s="413"/>
      <c r="L60" s="413"/>
      <c r="M60" s="413"/>
      <c r="N60" s="413"/>
      <c r="O60" s="413"/>
    </row>
    <row r="61" spans="1:15" hidden="1" x14ac:dyDescent="0.25">
      <c r="A61" s="413"/>
      <c r="B61" s="453">
        <v>33</v>
      </c>
      <c r="C61" s="454">
        <f>IF(B61&lt;='1) Project Information'!D$14,(1/(1+(IF('1) Project Information'!$E$17&gt;0,'1) Project Information'!$E$17,'1) Project Information'!$D$17)))^B61)*J$25,0)</f>
        <v>0</v>
      </c>
      <c r="D61" s="413"/>
      <c r="E61" s="413"/>
      <c r="F61" s="413"/>
      <c r="G61" s="413"/>
      <c r="H61" s="413"/>
      <c r="I61" s="413"/>
      <c r="J61" s="413"/>
      <c r="K61" s="413"/>
      <c r="L61" s="413"/>
      <c r="M61" s="413"/>
      <c r="N61" s="413"/>
      <c r="O61" s="413"/>
    </row>
    <row r="62" spans="1:15" hidden="1" x14ac:dyDescent="0.25">
      <c r="A62" s="413"/>
      <c r="B62" s="453">
        <v>34</v>
      </c>
      <c r="C62" s="454">
        <f>IF(B62&lt;='1) Project Information'!D$14,(1/(1+(IF('1) Project Information'!$E$17&gt;0,'1) Project Information'!$E$17,'1) Project Information'!$D$17)))^B62)*J$25,0)</f>
        <v>0</v>
      </c>
      <c r="D62" s="413"/>
      <c r="E62" s="413"/>
      <c r="F62" s="413"/>
      <c r="G62" s="413"/>
      <c r="H62" s="413"/>
      <c r="I62" s="413"/>
      <c r="J62" s="413"/>
      <c r="K62" s="413"/>
      <c r="L62" s="413"/>
      <c r="M62" s="413"/>
      <c r="N62" s="413"/>
      <c r="O62" s="413"/>
    </row>
    <row r="63" spans="1:15" hidden="1" x14ac:dyDescent="0.25">
      <c r="A63" s="413"/>
      <c r="B63" s="453">
        <v>35</v>
      </c>
      <c r="C63" s="454">
        <f>IF(B63&lt;='1) Project Information'!D$14,(1/(1+(IF('1) Project Information'!$E$17&gt;0,'1) Project Information'!$E$17,'1) Project Information'!$D$17)))^B63)*J$25,0)</f>
        <v>0</v>
      </c>
      <c r="D63" s="413"/>
      <c r="E63" s="413"/>
      <c r="F63" s="413"/>
      <c r="G63" s="413"/>
      <c r="H63" s="413"/>
      <c r="I63" s="413"/>
      <c r="J63" s="413"/>
      <c r="K63" s="413"/>
      <c r="L63" s="413"/>
      <c r="M63" s="413"/>
      <c r="N63" s="413"/>
      <c r="O63" s="413"/>
    </row>
    <row r="64" spans="1:15" hidden="1" x14ac:dyDescent="0.25">
      <c r="A64" s="413"/>
      <c r="B64" s="453">
        <v>36</v>
      </c>
      <c r="C64" s="454">
        <f>IF(B64&lt;='1) Project Information'!D$14,(1/(1+(IF('1) Project Information'!$E$17&gt;0,'1) Project Information'!$E$17,'1) Project Information'!$D$17)))^B64)*J$25,0)</f>
        <v>0</v>
      </c>
      <c r="D64" s="413"/>
      <c r="E64" s="413"/>
      <c r="F64" s="413"/>
      <c r="G64" s="413"/>
      <c r="H64" s="413"/>
      <c r="I64" s="413"/>
      <c r="J64" s="413"/>
      <c r="K64" s="413"/>
      <c r="L64" s="413"/>
      <c r="M64" s="413"/>
      <c r="N64" s="413"/>
      <c r="O64" s="413"/>
    </row>
    <row r="65" spans="1:15" hidden="1" x14ac:dyDescent="0.25">
      <c r="A65" s="413"/>
      <c r="B65" s="453">
        <v>37</v>
      </c>
      <c r="C65" s="454">
        <f>IF(B65&lt;='1) Project Information'!D$14,(1/(1+(IF('1) Project Information'!$E$17&gt;0,'1) Project Information'!$E$17,'1) Project Information'!$D$17)))^B65)*J$25,0)</f>
        <v>0</v>
      </c>
      <c r="D65" s="413"/>
      <c r="E65" s="413"/>
      <c r="F65" s="413"/>
      <c r="G65" s="413"/>
      <c r="H65" s="413"/>
      <c r="I65" s="413"/>
      <c r="J65" s="413"/>
      <c r="K65" s="413"/>
      <c r="L65" s="413"/>
      <c r="M65" s="413"/>
      <c r="N65" s="413"/>
      <c r="O65" s="413"/>
    </row>
    <row r="66" spans="1:15" hidden="1" x14ac:dyDescent="0.25">
      <c r="A66" s="413"/>
      <c r="B66" s="453">
        <v>38</v>
      </c>
      <c r="C66" s="454">
        <f>IF(B66&lt;='1) Project Information'!D$14,(1/(1+(IF('1) Project Information'!$E$17&gt;0,'1) Project Information'!$E$17,'1) Project Information'!$D$17)))^B66)*J$25,0)</f>
        <v>0</v>
      </c>
      <c r="D66" s="413"/>
      <c r="E66" s="413"/>
      <c r="F66" s="413"/>
      <c r="G66" s="413"/>
      <c r="H66" s="413"/>
      <c r="I66" s="413"/>
      <c r="J66" s="413"/>
      <c r="K66" s="413"/>
      <c r="L66" s="413"/>
      <c r="M66" s="413"/>
      <c r="N66" s="413"/>
      <c r="O66" s="413"/>
    </row>
    <row r="67" spans="1:15" hidden="1" x14ac:dyDescent="0.25">
      <c r="A67" s="413"/>
      <c r="B67" s="453">
        <v>39</v>
      </c>
      <c r="C67" s="454">
        <f>IF(B67&lt;='1) Project Information'!D$14,(1/(1+(IF('1) Project Information'!$E$17&gt;0,'1) Project Information'!$E$17,'1) Project Information'!$D$17)))^B67)*J$25,0)</f>
        <v>0</v>
      </c>
      <c r="D67" s="413"/>
      <c r="E67" s="413"/>
      <c r="F67" s="413"/>
      <c r="G67" s="413"/>
      <c r="H67" s="413"/>
      <c r="I67" s="413"/>
      <c r="J67" s="413"/>
      <c r="K67" s="413"/>
      <c r="L67" s="413"/>
      <c r="M67" s="413"/>
      <c r="N67" s="413"/>
      <c r="O67" s="413"/>
    </row>
    <row r="68" spans="1:15" hidden="1" x14ac:dyDescent="0.25">
      <c r="A68" s="413"/>
      <c r="B68" s="453">
        <v>40</v>
      </c>
      <c r="C68" s="454">
        <f>IF(B68&lt;='1) Project Information'!D$14,(1/(1+(IF('1) Project Information'!$E$17&gt;0,'1) Project Information'!$E$17,'1) Project Information'!$D$17)))^B68)*J$25,0)</f>
        <v>0</v>
      </c>
      <c r="D68" s="413"/>
      <c r="E68" s="413"/>
      <c r="F68" s="413"/>
      <c r="G68" s="413"/>
      <c r="H68" s="413"/>
      <c r="I68" s="413"/>
      <c r="J68" s="413"/>
      <c r="K68" s="413"/>
      <c r="L68" s="413"/>
      <c r="M68" s="413"/>
      <c r="N68" s="413"/>
      <c r="O68" s="413"/>
    </row>
    <row r="69" spans="1:15" hidden="1" x14ac:dyDescent="0.25">
      <c r="A69" s="413"/>
      <c r="B69" s="453">
        <v>41</v>
      </c>
      <c r="C69" s="454">
        <f>IF(B69&lt;='1) Project Information'!D$14,(1/(1+(IF('1) Project Information'!$E$17&gt;0,'1) Project Information'!$E$17,'1) Project Information'!$D$17)))^B69)*J$25,0)</f>
        <v>0</v>
      </c>
      <c r="D69" s="413"/>
      <c r="E69" s="413"/>
      <c r="F69" s="413"/>
      <c r="G69" s="413"/>
      <c r="H69" s="413"/>
      <c r="I69" s="413"/>
      <c r="J69" s="413"/>
      <c r="K69" s="413"/>
      <c r="L69" s="413"/>
      <c r="M69" s="413"/>
      <c r="N69" s="413"/>
      <c r="O69" s="413"/>
    </row>
    <row r="70" spans="1:15" hidden="1" x14ac:dyDescent="0.25">
      <c r="A70" s="413"/>
      <c r="B70" s="453">
        <v>42</v>
      </c>
      <c r="C70" s="454">
        <f>IF(B70&lt;='1) Project Information'!D$14,(1/(1+(IF('1) Project Information'!$E$17&gt;0,'1) Project Information'!$E$17,'1) Project Information'!$D$17)))^B70)*J$25,0)</f>
        <v>0</v>
      </c>
      <c r="D70" s="413"/>
      <c r="E70" s="413"/>
      <c r="F70" s="413"/>
      <c r="G70" s="413"/>
      <c r="H70" s="413"/>
      <c r="I70" s="413"/>
      <c r="J70" s="413"/>
      <c r="K70" s="413"/>
      <c r="L70" s="413"/>
      <c r="M70" s="413"/>
      <c r="N70" s="413"/>
      <c r="O70" s="413"/>
    </row>
    <row r="71" spans="1:15" hidden="1" x14ac:dyDescent="0.25">
      <c r="A71" s="413"/>
      <c r="B71" s="453">
        <v>43</v>
      </c>
      <c r="C71" s="454">
        <f>IF(B71&lt;='1) Project Information'!D$14,(1/(1+(IF('1) Project Information'!$E$17&gt;0,'1) Project Information'!$E$17,'1) Project Information'!$D$17)))^B71)*J$25,0)</f>
        <v>0</v>
      </c>
      <c r="D71" s="413"/>
      <c r="E71" s="413"/>
      <c r="F71" s="413"/>
      <c r="G71" s="413"/>
      <c r="H71" s="413"/>
      <c r="I71" s="413"/>
      <c r="J71" s="413"/>
      <c r="K71" s="413"/>
      <c r="L71" s="413"/>
      <c r="M71" s="413"/>
      <c r="N71" s="413"/>
      <c r="O71" s="413"/>
    </row>
    <row r="72" spans="1:15" hidden="1" x14ac:dyDescent="0.25">
      <c r="A72" s="413"/>
      <c r="B72" s="453">
        <v>44</v>
      </c>
      <c r="C72" s="454">
        <f>IF(B72&lt;='1) Project Information'!D$14,(1/(1+(IF('1) Project Information'!$E$17&gt;0,'1) Project Information'!$E$17,'1) Project Information'!$D$17)))^B72)*J$25,0)</f>
        <v>0</v>
      </c>
      <c r="D72" s="413"/>
      <c r="E72" s="413"/>
      <c r="F72" s="413"/>
      <c r="G72" s="413"/>
      <c r="H72" s="413"/>
      <c r="I72" s="413"/>
      <c r="J72" s="413"/>
      <c r="K72" s="413"/>
      <c r="L72" s="413"/>
      <c r="M72" s="413"/>
      <c r="N72" s="413"/>
      <c r="O72" s="413"/>
    </row>
    <row r="73" spans="1:15" hidden="1" x14ac:dyDescent="0.25">
      <c r="A73" s="413"/>
      <c r="B73" s="453">
        <v>45</v>
      </c>
      <c r="C73" s="454">
        <f>IF(B73&lt;='1) Project Information'!D$14,(1/(1+(IF('1) Project Information'!$E$17&gt;0,'1) Project Information'!$E$17,'1) Project Information'!$D$17)))^B73)*J$25,0)</f>
        <v>0</v>
      </c>
      <c r="D73" s="413"/>
      <c r="E73" s="413"/>
      <c r="F73" s="413"/>
      <c r="G73" s="413"/>
      <c r="H73" s="413"/>
      <c r="I73" s="413"/>
      <c r="J73" s="413"/>
      <c r="K73" s="413"/>
      <c r="L73" s="413"/>
      <c r="M73" s="413"/>
      <c r="N73" s="413"/>
      <c r="O73" s="413"/>
    </row>
    <row r="74" spans="1:15" hidden="1" x14ac:dyDescent="0.25">
      <c r="A74" s="413"/>
      <c r="B74" s="453">
        <v>46</v>
      </c>
      <c r="C74" s="454">
        <f>IF(B74&lt;='1) Project Information'!D$14,(1/(1+(IF('1) Project Information'!$E$17&gt;0,'1) Project Information'!$E$17,'1) Project Information'!$D$17)))^B74)*J$25,0)</f>
        <v>0</v>
      </c>
      <c r="D74" s="413"/>
      <c r="E74" s="413"/>
      <c r="F74" s="413"/>
      <c r="G74" s="413"/>
      <c r="H74" s="413"/>
      <c r="I74" s="413"/>
      <c r="J74" s="413"/>
      <c r="K74" s="413"/>
      <c r="L74" s="413"/>
      <c r="M74" s="413"/>
      <c r="N74" s="413"/>
      <c r="O74" s="413"/>
    </row>
    <row r="75" spans="1:15" hidden="1" x14ac:dyDescent="0.25">
      <c r="A75" s="413"/>
      <c r="B75" s="453">
        <v>47</v>
      </c>
      <c r="C75" s="454">
        <f>IF(B75&lt;='1) Project Information'!D$14,(1/(1+(IF('1) Project Information'!$E$17&gt;0,'1) Project Information'!$E$17,'1) Project Information'!$D$17)))^B75)*J$25,0)</f>
        <v>0</v>
      </c>
      <c r="D75" s="413"/>
      <c r="E75" s="413"/>
      <c r="F75" s="413"/>
      <c r="G75" s="413"/>
      <c r="H75" s="413"/>
      <c r="I75" s="413"/>
      <c r="J75" s="413"/>
      <c r="K75" s="413"/>
      <c r="L75" s="413"/>
      <c r="M75" s="413"/>
      <c r="N75" s="413"/>
      <c r="O75" s="413"/>
    </row>
    <row r="76" spans="1:15" hidden="1" x14ac:dyDescent="0.25">
      <c r="A76" s="413"/>
      <c r="B76" s="453">
        <v>48</v>
      </c>
      <c r="C76" s="454">
        <f>IF(B76&lt;='1) Project Information'!D$14,(1/(1+(IF('1) Project Information'!$E$17&gt;0,'1) Project Information'!$E$17,'1) Project Information'!$D$17)))^B76)*J$25,0)</f>
        <v>0</v>
      </c>
      <c r="D76" s="413"/>
      <c r="E76" s="413"/>
      <c r="F76" s="413"/>
      <c r="G76" s="413"/>
      <c r="H76" s="413"/>
      <c r="I76" s="413"/>
      <c r="J76" s="413"/>
      <c r="K76" s="413"/>
      <c r="L76" s="413"/>
      <c r="M76" s="413"/>
      <c r="N76" s="413"/>
      <c r="O76" s="413"/>
    </row>
    <row r="77" spans="1:15" hidden="1" x14ac:dyDescent="0.25">
      <c r="A77" s="413"/>
      <c r="B77" s="453">
        <v>49</v>
      </c>
      <c r="C77" s="454">
        <f>IF(B77&lt;='1) Project Information'!D$14,(1/(1+(IF('1) Project Information'!$E$17&gt;0,'1) Project Information'!$E$17,'1) Project Information'!$D$17)))^B77)*J$25,0)</f>
        <v>0</v>
      </c>
      <c r="D77" s="413"/>
      <c r="E77" s="413"/>
      <c r="F77" s="413"/>
      <c r="G77" s="413"/>
      <c r="H77" s="413"/>
      <c r="I77" s="413"/>
      <c r="J77" s="413"/>
      <c r="K77" s="413"/>
      <c r="L77" s="413"/>
      <c r="M77" s="413"/>
      <c r="N77" s="413"/>
      <c r="O77" s="413"/>
    </row>
    <row r="78" spans="1:15" hidden="1" x14ac:dyDescent="0.25">
      <c r="A78" s="413"/>
      <c r="B78" s="453">
        <v>50</v>
      </c>
      <c r="C78" s="454">
        <f>IF(B78&lt;='1) Project Information'!D$14,(1/(1+(IF('1) Project Information'!$E$17&gt;0,'1) Project Information'!$E$17,'1) Project Information'!$D$17)))^B78)*J$25,0)</f>
        <v>0</v>
      </c>
      <c r="D78" s="413"/>
      <c r="E78" s="413"/>
      <c r="F78" s="413"/>
      <c r="G78" s="413"/>
      <c r="H78" s="413"/>
      <c r="I78" s="413"/>
      <c r="J78" s="413"/>
      <c r="K78" s="413"/>
      <c r="L78" s="413"/>
      <c r="M78" s="413"/>
      <c r="N78" s="413"/>
      <c r="O78" s="413"/>
    </row>
    <row r="79" spans="1:15" hidden="1" x14ac:dyDescent="0.25">
      <c r="A79" s="413"/>
      <c r="B79" s="413"/>
      <c r="C79" s="455">
        <f>SUM(C29:C78)</f>
        <v>0</v>
      </c>
      <c r="D79" s="413"/>
      <c r="E79" s="413"/>
      <c r="F79" s="413"/>
      <c r="G79" s="413"/>
      <c r="H79" s="413"/>
      <c r="I79" s="413"/>
      <c r="J79" s="413"/>
      <c r="K79" s="413"/>
      <c r="L79" s="413"/>
      <c r="M79" s="413"/>
      <c r="N79" s="413"/>
      <c r="O79" s="413"/>
    </row>
    <row r="80" spans="1:15" x14ac:dyDescent="0.25">
      <c r="A80" s="413"/>
      <c r="B80" s="413"/>
      <c r="C80" s="413"/>
      <c r="D80" s="413"/>
      <c r="E80" s="413"/>
      <c r="F80" s="413"/>
      <c r="G80" s="413"/>
      <c r="H80" s="413"/>
      <c r="I80" s="413"/>
      <c r="J80" s="413"/>
      <c r="K80" s="413"/>
      <c r="L80" s="413"/>
      <c r="M80" s="413"/>
      <c r="N80" s="413"/>
      <c r="O80" s="413"/>
    </row>
    <row r="81" spans="1:15" x14ac:dyDescent="0.25">
      <c r="A81" s="413"/>
      <c r="B81" s="413"/>
      <c r="C81" s="413"/>
      <c r="D81" s="413"/>
      <c r="E81" s="413"/>
      <c r="F81" s="413"/>
      <c r="G81" s="413"/>
      <c r="H81" s="413"/>
      <c r="I81" s="413"/>
      <c r="J81" s="413"/>
      <c r="K81" s="413"/>
      <c r="L81" s="413"/>
      <c r="M81" s="413"/>
      <c r="N81" s="413"/>
      <c r="O81" s="413"/>
    </row>
    <row r="82" spans="1:15" x14ac:dyDescent="0.25">
      <c r="A82" s="413"/>
      <c r="B82" s="413"/>
      <c r="C82" s="413"/>
      <c r="D82" s="413"/>
      <c r="E82" s="413"/>
      <c r="F82" s="413"/>
      <c r="G82" s="413"/>
      <c r="H82" s="413"/>
      <c r="I82" s="413"/>
      <c r="J82" s="413"/>
      <c r="K82" s="413"/>
      <c r="L82" s="413"/>
      <c r="M82" s="413"/>
      <c r="N82" s="413"/>
      <c r="O82" s="413"/>
    </row>
    <row r="83" spans="1:15" x14ac:dyDescent="0.25">
      <c r="A83" s="413"/>
      <c r="B83" s="413"/>
      <c r="C83" s="413"/>
      <c r="D83" s="413"/>
      <c r="E83" s="413"/>
      <c r="F83" s="413"/>
      <c r="G83" s="413"/>
      <c r="H83" s="413"/>
      <c r="I83" s="413"/>
      <c r="J83" s="413"/>
      <c r="K83" s="413"/>
      <c r="L83" s="413"/>
      <c r="M83" s="413"/>
      <c r="N83" s="413"/>
      <c r="O83" s="413"/>
    </row>
    <row r="84" spans="1:15" x14ac:dyDescent="0.25">
      <c r="A84" s="413"/>
      <c r="B84" s="413"/>
      <c r="C84" s="413"/>
      <c r="D84" s="413"/>
      <c r="E84" s="413"/>
      <c r="F84" s="413"/>
      <c r="G84" s="413"/>
      <c r="H84" s="413"/>
      <c r="I84" s="413"/>
      <c r="J84" s="413"/>
      <c r="K84" s="413"/>
      <c r="L84" s="413"/>
      <c r="M84" s="413"/>
      <c r="N84" s="413"/>
      <c r="O84" s="413"/>
    </row>
    <row r="85" spans="1:15" x14ac:dyDescent="0.25">
      <c r="A85" s="413"/>
      <c r="B85" s="413"/>
      <c r="C85" s="413"/>
      <c r="D85" s="413"/>
      <c r="E85" s="413"/>
      <c r="F85" s="413"/>
      <c r="G85" s="413"/>
      <c r="H85" s="413"/>
      <c r="I85" s="413"/>
      <c r="J85" s="413"/>
      <c r="K85" s="413"/>
      <c r="L85" s="413"/>
      <c r="M85" s="413"/>
      <c r="N85" s="413"/>
      <c r="O85" s="413"/>
    </row>
    <row r="86" spans="1:15" x14ac:dyDescent="0.25">
      <c r="A86" s="413"/>
      <c r="B86" s="413"/>
      <c r="C86" s="413"/>
      <c r="D86" s="413"/>
      <c r="E86" s="413"/>
      <c r="F86" s="413"/>
      <c r="G86" s="413"/>
      <c r="H86" s="413"/>
      <c r="I86" s="413"/>
      <c r="J86" s="413"/>
      <c r="K86" s="413"/>
      <c r="L86" s="413"/>
      <c r="M86" s="413"/>
      <c r="N86" s="413"/>
      <c r="O86" s="413"/>
    </row>
    <row r="87" spans="1:15" x14ac:dyDescent="0.25">
      <c r="A87" s="413"/>
      <c r="B87" s="413"/>
      <c r="C87" s="413"/>
      <c r="D87" s="413"/>
      <c r="E87" s="413"/>
      <c r="F87" s="413"/>
      <c r="G87" s="413"/>
      <c r="H87" s="413"/>
      <c r="I87" s="413"/>
      <c r="J87" s="413"/>
      <c r="K87" s="413"/>
      <c r="L87" s="413"/>
      <c r="M87" s="413"/>
      <c r="N87" s="413"/>
      <c r="O87" s="413"/>
    </row>
    <row r="88" spans="1:15" x14ac:dyDescent="0.25">
      <c r="A88" s="413"/>
      <c r="B88" s="413"/>
      <c r="C88" s="413"/>
      <c r="D88" s="413"/>
      <c r="E88" s="413"/>
      <c r="F88" s="413"/>
      <c r="G88" s="413"/>
      <c r="H88" s="413"/>
      <c r="I88" s="413"/>
      <c r="J88" s="413"/>
      <c r="K88" s="413"/>
      <c r="L88" s="413"/>
      <c r="M88" s="413"/>
      <c r="N88" s="413"/>
      <c r="O88" s="413"/>
    </row>
    <row r="89" spans="1:15" x14ac:dyDescent="0.25">
      <c r="A89" s="413"/>
      <c r="B89" s="413"/>
      <c r="C89" s="413"/>
      <c r="D89" s="413"/>
      <c r="E89" s="413"/>
      <c r="F89" s="413"/>
      <c r="G89" s="413"/>
      <c r="H89" s="413"/>
      <c r="I89" s="413"/>
      <c r="J89" s="413"/>
      <c r="K89" s="413"/>
      <c r="L89" s="413"/>
      <c r="M89" s="413"/>
      <c r="N89" s="413"/>
      <c r="O89" s="413"/>
    </row>
    <row r="90" spans="1:15" x14ac:dyDescent="0.25">
      <c r="A90" s="413"/>
      <c r="B90" s="413"/>
      <c r="C90" s="413"/>
      <c r="D90" s="413"/>
      <c r="E90" s="413"/>
      <c r="F90" s="413"/>
      <c r="G90" s="413"/>
      <c r="H90" s="413"/>
      <c r="I90" s="413"/>
      <c r="J90" s="413"/>
      <c r="K90" s="413"/>
      <c r="L90" s="413"/>
      <c r="M90" s="413"/>
      <c r="N90" s="413"/>
      <c r="O90" s="413"/>
    </row>
    <row r="91" spans="1:15" x14ac:dyDescent="0.25">
      <c r="A91" s="413"/>
      <c r="B91" s="413"/>
      <c r="C91" s="413"/>
      <c r="D91" s="413"/>
      <c r="E91" s="413"/>
      <c r="F91" s="413"/>
      <c r="G91" s="413"/>
      <c r="H91" s="413"/>
      <c r="I91" s="413"/>
      <c r="J91" s="413"/>
      <c r="K91" s="413"/>
      <c r="L91" s="413"/>
      <c r="M91" s="413"/>
      <c r="N91" s="413"/>
      <c r="O91" s="413"/>
    </row>
    <row r="92" spans="1:15" x14ac:dyDescent="0.25">
      <c r="A92" s="413"/>
      <c r="B92" s="413"/>
      <c r="C92" s="413"/>
      <c r="D92" s="413"/>
      <c r="E92" s="413"/>
      <c r="F92" s="413"/>
      <c r="G92" s="413"/>
      <c r="H92" s="413"/>
      <c r="I92" s="413"/>
      <c r="J92" s="413"/>
      <c r="K92" s="413"/>
      <c r="L92" s="413"/>
      <c r="M92" s="413"/>
      <c r="N92" s="413"/>
      <c r="O92" s="413"/>
    </row>
    <row r="93" spans="1:15" x14ac:dyDescent="0.25">
      <c r="A93" s="413"/>
      <c r="B93" s="413"/>
      <c r="C93" s="413"/>
      <c r="D93" s="413"/>
      <c r="E93" s="413"/>
      <c r="F93" s="413"/>
      <c r="G93" s="413"/>
      <c r="H93" s="413"/>
      <c r="I93" s="413"/>
      <c r="J93" s="413"/>
      <c r="K93" s="413"/>
      <c r="L93" s="413"/>
      <c r="M93" s="413"/>
      <c r="N93" s="413"/>
      <c r="O93" s="413"/>
    </row>
    <row r="94" spans="1:15" x14ac:dyDescent="0.25">
      <c r="A94" s="413"/>
      <c r="B94" s="413"/>
      <c r="C94" s="413"/>
      <c r="D94" s="413"/>
      <c r="E94" s="413"/>
      <c r="F94" s="413"/>
      <c r="G94" s="413"/>
      <c r="H94" s="413"/>
      <c r="I94" s="413"/>
      <c r="J94" s="413"/>
      <c r="K94" s="413"/>
      <c r="L94" s="413"/>
      <c r="M94" s="413"/>
      <c r="N94" s="413"/>
      <c r="O94" s="413"/>
    </row>
    <row r="95" spans="1:15" x14ac:dyDescent="0.25">
      <c r="A95" s="413"/>
      <c r="B95" s="413"/>
      <c r="C95" s="413"/>
      <c r="D95" s="413"/>
      <c r="E95" s="413"/>
      <c r="F95" s="413"/>
      <c r="G95" s="413"/>
      <c r="H95" s="413"/>
      <c r="I95" s="413"/>
      <c r="J95" s="413"/>
      <c r="K95" s="413"/>
      <c r="L95" s="413"/>
      <c r="M95" s="413"/>
      <c r="N95" s="413"/>
      <c r="O95" s="413"/>
    </row>
    <row r="96" spans="1:15" x14ac:dyDescent="0.25">
      <c r="A96" s="413"/>
      <c r="B96" s="413"/>
      <c r="C96" s="413"/>
      <c r="D96" s="413"/>
      <c r="E96" s="413"/>
      <c r="F96" s="413"/>
      <c r="G96" s="413"/>
      <c r="H96" s="413"/>
      <c r="I96" s="413"/>
      <c r="J96" s="413"/>
      <c r="K96" s="413"/>
      <c r="L96" s="413"/>
      <c r="M96" s="413"/>
      <c r="N96" s="413"/>
      <c r="O96" s="413"/>
    </row>
    <row r="97" spans="1:15" x14ac:dyDescent="0.25">
      <c r="A97" s="413"/>
      <c r="B97" s="413"/>
      <c r="C97" s="413"/>
      <c r="D97" s="413"/>
      <c r="E97" s="413"/>
      <c r="F97" s="413"/>
      <c r="G97" s="413"/>
      <c r="H97" s="413"/>
      <c r="I97" s="413"/>
      <c r="J97" s="413"/>
      <c r="K97" s="413"/>
      <c r="L97" s="413"/>
      <c r="M97" s="413"/>
      <c r="N97" s="413"/>
      <c r="O97" s="413"/>
    </row>
    <row r="98" spans="1:15" x14ac:dyDescent="0.25">
      <c r="A98" s="413"/>
      <c r="B98" s="413"/>
      <c r="C98" s="413"/>
      <c r="D98" s="413"/>
      <c r="E98" s="413"/>
      <c r="F98" s="413"/>
      <c r="G98" s="413"/>
      <c r="H98" s="413"/>
      <c r="I98" s="413"/>
      <c r="J98" s="413"/>
      <c r="K98" s="413"/>
      <c r="L98" s="413"/>
      <c r="M98" s="413"/>
      <c r="N98" s="413"/>
      <c r="O98" s="413"/>
    </row>
    <row r="99" spans="1:15" x14ac:dyDescent="0.25">
      <c r="A99" s="413"/>
      <c r="B99" s="413"/>
      <c r="C99" s="413"/>
      <c r="D99" s="413"/>
      <c r="E99" s="413"/>
      <c r="F99" s="413"/>
      <c r="G99" s="413"/>
      <c r="H99" s="413"/>
      <c r="I99" s="413"/>
      <c r="J99" s="413"/>
      <c r="K99" s="413"/>
      <c r="L99" s="413"/>
      <c r="M99" s="413"/>
      <c r="N99" s="413"/>
      <c r="O99" s="413"/>
    </row>
    <row r="100" spans="1:15" x14ac:dyDescent="0.25">
      <c r="A100" s="413"/>
      <c r="B100" s="413"/>
      <c r="C100" s="413"/>
      <c r="D100" s="413"/>
      <c r="E100" s="413"/>
      <c r="F100" s="413"/>
      <c r="G100" s="413"/>
      <c r="H100" s="413"/>
      <c r="I100" s="413"/>
      <c r="J100" s="413"/>
      <c r="K100" s="413"/>
      <c r="L100" s="413"/>
      <c r="M100" s="413"/>
      <c r="N100" s="413"/>
      <c r="O100" s="413"/>
    </row>
    <row r="101" spans="1:15" x14ac:dyDescent="0.25">
      <c r="A101" s="413"/>
      <c r="B101" s="413"/>
      <c r="C101" s="413"/>
      <c r="D101" s="413"/>
      <c r="E101" s="413"/>
      <c r="F101" s="413"/>
      <c r="G101" s="413"/>
      <c r="H101" s="413"/>
      <c r="I101" s="413"/>
      <c r="J101" s="413"/>
      <c r="K101" s="413"/>
      <c r="L101" s="413"/>
      <c r="M101" s="413"/>
      <c r="N101" s="413"/>
      <c r="O101" s="413"/>
    </row>
    <row r="102" spans="1:15" x14ac:dyDescent="0.25">
      <c r="A102" s="413"/>
      <c r="B102" s="413"/>
      <c r="C102" s="413"/>
      <c r="D102" s="413"/>
      <c r="E102" s="413"/>
      <c r="F102" s="413"/>
      <c r="G102" s="413"/>
      <c r="H102" s="413"/>
      <c r="I102" s="413"/>
      <c r="J102" s="413"/>
      <c r="K102" s="413"/>
      <c r="L102" s="413"/>
      <c r="M102" s="413"/>
      <c r="N102" s="413"/>
      <c r="O102" s="413"/>
    </row>
    <row r="103" spans="1:15" x14ac:dyDescent="0.25">
      <c r="A103" s="413"/>
      <c r="B103" s="413"/>
      <c r="C103" s="413"/>
      <c r="D103" s="413"/>
      <c r="E103" s="413"/>
      <c r="F103" s="413"/>
      <c r="G103" s="413"/>
      <c r="H103" s="413"/>
      <c r="I103" s="413"/>
      <c r="J103" s="413"/>
      <c r="K103" s="413"/>
      <c r="L103" s="413"/>
      <c r="M103" s="413"/>
      <c r="N103" s="413"/>
      <c r="O103" s="413"/>
    </row>
    <row r="104" spans="1:15" x14ac:dyDescent="0.25">
      <c r="A104" s="413"/>
      <c r="B104" s="413"/>
      <c r="C104" s="413"/>
      <c r="D104" s="413"/>
      <c r="E104" s="413"/>
      <c r="F104" s="413"/>
      <c r="G104" s="413"/>
      <c r="H104" s="413"/>
      <c r="I104" s="413"/>
      <c r="J104" s="413"/>
      <c r="K104" s="413"/>
      <c r="L104" s="413"/>
      <c r="M104" s="413"/>
      <c r="N104" s="413"/>
      <c r="O104" s="413"/>
    </row>
    <row r="105" spans="1:15" x14ac:dyDescent="0.25">
      <c r="A105" s="413"/>
      <c r="B105" s="413"/>
      <c r="C105" s="413"/>
      <c r="D105" s="413"/>
      <c r="E105" s="413"/>
      <c r="F105" s="413"/>
      <c r="G105" s="413"/>
      <c r="H105" s="413"/>
      <c r="I105" s="413"/>
      <c r="J105" s="413"/>
      <c r="K105" s="413"/>
      <c r="L105" s="413"/>
      <c r="M105" s="413"/>
      <c r="N105" s="413"/>
      <c r="O105" s="413"/>
    </row>
    <row r="106" spans="1:15" x14ac:dyDescent="0.25">
      <c r="A106" s="413"/>
      <c r="B106" s="413"/>
      <c r="C106" s="413"/>
      <c r="D106" s="413"/>
      <c r="E106" s="413"/>
      <c r="F106" s="413"/>
      <c r="G106" s="413"/>
      <c r="H106" s="413"/>
      <c r="I106" s="413"/>
      <c r="J106" s="413"/>
      <c r="K106" s="413"/>
      <c r="L106" s="413"/>
      <c r="M106" s="413"/>
      <c r="N106" s="413"/>
      <c r="O106" s="413"/>
    </row>
    <row r="107" spans="1:15" x14ac:dyDescent="0.25">
      <c r="A107" s="413"/>
      <c r="B107" s="413"/>
      <c r="C107" s="413"/>
      <c r="D107" s="413"/>
      <c r="E107" s="413"/>
      <c r="F107" s="413"/>
      <c r="G107" s="413"/>
      <c r="H107" s="413"/>
      <c r="I107" s="413"/>
      <c r="J107" s="413"/>
      <c r="K107" s="413"/>
      <c r="L107" s="413"/>
      <c r="M107" s="413"/>
      <c r="N107" s="413"/>
      <c r="O107" s="413"/>
    </row>
    <row r="108" spans="1:15" x14ac:dyDescent="0.25">
      <c r="A108" s="413"/>
      <c r="B108" s="413"/>
      <c r="C108" s="413"/>
      <c r="D108" s="413"/>
      <c r="E108" s="413"/>
      <c r="F108" s="413"/>
      <c r="G108" s="413"/>
      <c r="H108" s="413"/>
      <c r="I108" s="413"/>
      <c r="J108" s="413"/>
      <c r="K108" s="413"/>
      <c r="L108" s="413"/>
      <c r="M108" s="413"/>
      <c r="N108" s="413"/>
      <c r="O108" s="413"/>
    </row>
    <row r="109" spans="1:15" x14ac:dyDescent="0.25">
      <c r="A109" s="413"/>
      <c r="B109" s="413"/>
      <c r="C109" s="413"/>
      <c r="D109" s="413"/>
      <c r="E109" s="413"/>
      <c r="F109" s="413"/>
      <c r="G109" s="413"/>
      <c r="H109" s="413"/>
      <c r="I109" s="413"/>
      <c r="J109" s="413"/>
      <c r="K109" s="413"/>
      <c r="L109" s="413"/>
      <c r="M109" s="413"/>
      <c r="N109" s="413"/>
      <c r="O109" s="413"/>
    </row>
    <row r="110" spans="1:15" x14ac:dyDescent="0.25">
      <c r="A110" s="413"/>
      <c r="B110" s="413"/>
      <c r="C110" s="413"/>
      <c r="D110" s="413"/>
      <c r="E110" s="413"/>
      <c r="F110" s="413"/>
      <c r="G110" s="413"/>
      <c r="H110" s="413"/>
      <c r="I110" s="413"/>
      <c r="J110" s="413"/>
      <c r="K110" s="413"/>
      <c r="L110" s="413"/>
      <c r="M110" s="413"/>
      <c r="N110" s="413"/>
      <c r="O110" s="413"/>
    </row>
    <row r="111" spans="1:15" x14ac:dyDescent="0.25">
      <c r="A111" s="413"/>
      <c r="B111" s="413"/>
      <c r="C111" s="413"/>
      <c r="D111" s="413"/>
      <c r="E111" s="413"/>
      <c r="F111" s="413"/>
      <c r="G111" s="413"/>
      <c r="H111" s="413"/>
      <c r="I111" s="413"/>
      <c r="J111" s="413"/>
      <c r="K111" s="413"/>
      <c r="L111" s="413"/>
      <c r="M111" s="413"/>
      <c r="N111" s="413"/>
      <c r="O111" s="413"/>
    </row>
    <row r="112" spans="1:15" x14ac:dyDescent="0.25">
      <c r="A112" s="413"/>
      <c r="B112" s="413"/>
      <c r="C112" s="413"/>
      <c r="D112" s="413"/>
      <c r="E112" s="413"/>
      <c r="F112" s="413"/>
      <c r="G112" s="413"/>
      <c r="H112" s="413"/>
      <c r="I112" s="413"/>
      <c r="J112" s="413"/>
      <c r="K112" s="413"/>
      <c r="L112" s="413"/>
      <c r="M112" s="413"/>
      <c r="N112" s="413"/>
      <c r="O112" s="413"/>
    </row>
    <row r="113" spans="1:15" x14ac:dyDescent="0.25">
      <c r="A113" s="413"/>
      <c r="B113" s="413"/>
      <c r="C113" s="413"/>
      <c r="D113" s="413"/>
      <c r="E113" s="413"/>
      <c r="F113" s="413"/>
      <c r="G113" s="413"/>
      <c r="H113" s="413"/>
      <c r="I113" s="413"/>
      <c r="J113" s="413"/>
      <c r="K113" s="413"/>
      <c r="L113" s="413"/>
      <c r="M113" s="413"/>
      <c r="N113" s="413"/>
      <c r="O113" s="413"/>
    </row>
    <row r="114" spans="1:15" x14ac:dyDescent="0.25">
      <c r="A114" s="413"/>
      <c r="B114" s="413"/>
      <c r="C114" s="413"/>
      <c r="D114" s="413"/>
      <c r="E114" s="413"/>
      <c r="F114" s="413"/>
      <c r="G114" s="413"/>
      <c r="H114" s="413"/>
      <c r="I114" s="413"/>
      <c r="J114" s="413"/>
      <c r="K114" s="413"/>
      <c r="L114" s="413"/>
      <c r="M114" s="413"/>
      <c r="N114" s="413"/>
      <c r="O114" s="413"/>
    </row>
    <row r="115" spans="1:15" x14ac:dyDescent="0.25">
      <c r="A115" s="413"/>
      <c r="B115" s="413"/>
      <c r="C115" s="413"/>
      <c r="D115" s="413"/>
      <c r="E115" s="413"/>
      <c r="F115" s="413"/>
      <c r="G115" s="413"/>
      <c r="H115" s="413"/>
      <c r="I115" s="413"/>
      <c r="J115" s="413"/>
      <c r="K115" s="413"/>
      <c r="L115" s="413"/>
      <c r="M115" s="413"/>
      <c r="N115" s="413"/>
      <c r="O115" s="413"/>
    </row>
    <row r="116" spans="1:15" x14ac:dyDescent="0.25">
      <c r="A116" s="413"/>
      <c r="B116" s="413"/>
      <c r="C116" s="413"/>
      <c r="D116" s="413"/>
      <c r="E116" s="413"/>
      <c r="F116" s="413"/>
      <c r="G116" s="413"/>
      <c r="H116" s="413"/>
      <c r="I116" s="413"/>
      <c r="J116" s="413"/>
      <c r="K116" s="413"/>
      <c r="L116" s="413"/>
      <c r="M116" s="413"/>
      <c r="N116" s="413"/>
      <c r="O116" s="413"/>
    </row>
    <row r="117" spans="1:15" x14ac:dyDescent="0.25">
      <c r="A117" s="413"/>
      <c r="B117" s="413"/>
      <c r="C117" s="413"/>
      <c r="D117" s="413"/>
      <c r="E117" s="413"/>
      <c r="F117" s="413"/>
      <c r="G117" s="413"/>
      <c r="H117" s="413"/>
      <c r="I117" s="413"/>
      <c r="J117" s="413"/>
      <c r="K117" s="413"/>
      <c r="L117" s="413"/>
      <c r="M117" s="413"/>
      <c r="N117" s="413"/>
      <c r="O117" s="413"/>
    </row>
    <row r="118" spans="1:15" x14ac:dyDescent="0.25">
      <c r="A118" s="413"/>
      <c r="B118" s="413"/>
      <c r="C118" s="413"/>
      <c r="D118" s="413"/>
      <c r="E118" s="413"/>
      <c r="F118" s="413"/>
      <c r="G118" s="413"/>
      <c r="H118" s="413"/>
      <c r="I118" s="413"/>
      <c r="J118" s="413"/>
      <c r="K118" s="413"/>
      <c r="L118" s="413"/>
      <c r="M118" s="413"/>
      <c r="N118" s="413"/>
      <c r="O118" s="413"/>
    </row>
    <row r="119" spans="1:15" x14ac:dyDescent="0.25">
      <c r="A119" s="413"/>
      <c r="B119" s="413"/>
      <c r="C119" s="413"/>
      <c r="D119" s="413"/>
      <c r="E119" s="413"/>
      <c r="F119" s="413"/>
      <c r="G119" s="413"/>
      <c r="H119" s="413"/>
      <c r="I119" s="413"/>
      <c r="J119" s="413"/>
      <c r="K119" s="413"/>
      <c r="L119" s="413"/>
      <c r="M119" s="413"/>
      <c r="N119" s="413"/>
      <c r="O119" s="413"/>
    </row>
    <row r="120" spans="1:15" x14ac:dyDescent="0.25">
      <c r="A120" s="413"/>
      <c r="B120" s="413"/>
      <c r="C120" s="413"/>
      <c r="D120" s="413"/>
      <c r="E120" s="413"/>
      <c r="F120" s="413"/>
      <c r="G120" s="413"/>
      <c r="H120" s="413"/>
      <c r="I120" s="413"/>
      <c r="J120" s="413"/>
      <c r="K120" s="413"/>
      <c r="L120" s="413"/>
      <c r="M120" s="413"/>
      <c r="N120" s="413"/>
      <c r="O120" s="413"/>
    </row>
    <row r="121" spans="1:15" x14ac:dyDescent="0.25">
      <c r="A121" s="413"/>
      <c r="B121" s="413"/>
      <c r="C121" s="413"/>
      <c r="D121" s="413"/>
      <c r="E121" s="413"/>
      <c r="F121" s="413"/>
      <c r="G121" s="413"/>
      <c r="H121" s="413"/>
      <c r="I121" s="413"/>
      <c r="J121" s="413"/>
      <c r="K121" s="413"/>
      <c r="L121" s="413"/>
      <c r="M121" s="413"/>
      <c r="N121" s="413"/>
      <c r="O121" s="413"/>
    </row>
    <row r="122" spans="1:15" x14ac:dyDescent="0.25">
      <c r="A122" s="413"/>
      <c r="B122" s="413"/>
      <c r="C122" s="413"/>
      <c r="D122" s="413"/>
      <c r="E122" s="413"/>
      <c r="F122" s="413"/>
      <c r="G122" s="413"/>
      <c r="H122" s="413"/>
      <c r="I122" s="413"/>
      <c r="J122" s="413"/>
      <c r="K122" s="413"/>
      <c r="L122" s="413"/>
      <c r="M122" s="413"/>
      <c r="N122" s="413"/>
      <c r="O122" s="413"/>
    </row>
    <row r="123" spans="1:15" x14ac:dyDescent="0.25">
      <c r="A123" s="413"/>
      <c r="B123" s="413"/>
      <c r="C123" s="413"/>
      <c r="D123" s="413"/>
      <c r="E123" s="413"/>
      <c r="F123" s="413"/>
      <c r="G123" s="413"/>
      <c r="H123" s="413"/>
      <c r="I123" s="413"/>
      <c r="J123" s="413"/>
      <c r="K123" s="413"/>
      <c r="L123" s="413"/>
      <c r="M123" s="413"/>
      <c r="N123" s="413"/>
      <c r="O123" s="413"/>
    </row>
    <row r="124" spans="1:15" x14ac:dyDescent="0.25">
      <c r="A124" s="413"/>
      <c r="B124" s="413"/>
      <c r="C124" s="413"/>
      <c r="D124" s="413"/>
      <c r="E124" s="413"/>
      <c r="F124" s="413"/>
      <c r="G124" s="413"/>
      <c r="H124" s="413"/>
      <c r="I124" s="413"/>
      <c r="J124" s="413"/>
      <c r="K124" s="413"/>
      <c r="L124" s="413"/>
      <c r="M124" s="413"/>
      <c r="N124" s="413"/>
      <c r="O124" s="413"/>
    </row>
    <row r="125" spans="1:15" x14ac:dyDescent="0.25">
      <c r="A125" s="413"/>
      <c r="B125" s="413"/>
      <c r="C125" s="413"/>
      <c r="D125" s="413"/>
      <c r="E125" s="413"/>
      <c r="F125" s="413"/>
      <c r="G125" s="413"/>
      <c r="H125" s="413"/>
      <c r="I125" s="413"/>
      <c r="J125" s="413"/>
      <c r="K125" s="413"/>
      <c r="L125" s="413"/>
      <c r="M125" s="413"/>
      <c r="N125" s="413"/>
      <c r="O125" s="413"/>
    </row>
    <row r="126" spans="1:15" x14ac:dyDescent="0.25">
      <c r="A126" s="413"/>
      <c r="B126" s="413"/>
      <c r="C126" s="413"/>
      <c r="D126" s="413"/>
      <c r="E126" s="413"/>
      <c r="F126" s="413"/>
      <c r="G126" s="413"/>
      <c r="H126" s="413"/>
      <c r="I126" s="413"/>
      <c r="J126" s="413"/>
      <c r="K126" s="413"/>
      <c r="L126" s="413"/>
      <c r="M126" s="413"/>
      <c r="N126" s="413"/>
      <c r="O126" s="413"/>
    </row>
    <row r="127" spans="1:15" x14ac:dyDescent="0.25">
      <c r="A127" s="413"/>
      <c r="B127" s="413"/>
      <c r="C127" s="413"/>
      <c r="D127" s="413"/>
      <c r="E127" s="413"/>
      <c r="F127" s="413"/>
      <c r="G127" s="413"/>
      <c r="H127" s="413"/>
      <c r="I127" s="413"/>
      <c r="J127" s="413"/>
      <c r="K127" s="413"/>
      <c r="L127" s="413"/>
      <c r="M127" s="413"/>
      <c r="N127" s="413"/>
      <c r="O127" s="413"/>
    </row>
    <row r="128" spans="1:15" x14ac:dyDescent="0.25">
      <c r="A128" s="413"/>
      <c r="B128" s="413"/>
      <c r="C128" s="413"/>
      <c r="D128" s="413"/>
      <c r="E128" s="413"/>
      <c r="F128" s="413"/>
      <c r="G128" s="413"/>
      <c r="H128" s="413"/>
      <c r="I128" s="413"/>
      <c r="J128" s="413"/>
      <c r="K128" s="413"/>
      <c r="L128" s="413"/>
      <c r="M128" s="413"/>
      <c r="N128" s="413"/>
      <c r="O128" s="413"/>
    </row>
    <row r="129" spans="1:15" x14ac:dyDescent="0.25">
      <c r="A129" s="413"/>
      <c r="B129" s="413"/>
      <c r="C129" s="413"/>
      <c r="D129" s="413"/>
      <c r="E129" s="413"/>
      <c r="F129" s="413"/>
      <c r="G129" s="413"/>
      <c r="H129" s="413"/>
      <c r="I129" s="413"/>
      <c r="J129" s="413"/>
      <c r="K129" s="413"/>
      <c r="L129" s="413"/>
      <c r="M129" s="413"/>
      <c r="N129" s="413"/>
      <c r="O129" s="413"/>
    </row>
    <row r="130" spans="1:15" x14ac:dyDescent="0.25">
      <c r="A130" s="413"/>
      <c r="B130" s="413"/>
      <c r="C130" s="413"/>
      <c r="D130" s="413"/>
      <c r="E130" s="413"/>
      <c r="F130" s="413"/>
      <c r="G130" s="413"/>
      <c r="H130" s="413"/>
      <c r="I130" s="413"/>
      <c r="J130" s="413"/>
      <c r="K130" s="413"/>
      <c r="L130" s="413"/>
      <c r="M130" s="413"/>
      <c r="N130" s="413"/>
      <c r="O130" s="413"/>
    </row>
    <row r="131" spans="1:15" x14ac:dyDescent="0.25">
      <c r="A131" s="413"/>
      <c r="B131" s="413"/>
      <c r="C131" s="413"/>
      <c r="D131" s="413"/>
      <c r="E131" s="413"/>
      <c r="F131" s="413"/>
      <c r="G131" s="413"/>
      <c r="H131" s="413"/>
      <c r="I131" s="413"/>
      <c r="J131" s="413"/>
      <c r="K131" s="413"/>
      <c r="L131" s="413"/>
      <c r="M131" s="413"/>
      <c r="N131" s="413"/>
      <c r="O131" s="413"/>
    </row>
    <row r="132" spans="1:15" x14ac:dyDescent="0.25">
      <c r="A132" s="413"/>
      <c r="B132" s="413"/>
      <c r="C132" s="413"/>
      <c r="D132" s="413"/>
      <c r="E132" s="413"/>
      <c r="F132" s="413"/>
      <c r="G132" s="413"/>
      <c r="H132" s="413"/>
      <c r="I132" s="413"/>
      <c r="J132" s="413"/>
      <c r="K132" s="413"/>
      <c r="L132" s="413"/>
      <c r="M132" s="413"/>
      <c r="N132" s="413"/>
      <c r="O132" s="413"/>
    </row>
    <row r="133" spans="1:15" x14ac:dyDescent="0.25">
      <c r="A133" s="413"/>
      <c r="B133" s="413"/>
      <c r="C133" s="413"/>
      <c r="D133" s="413"/>
      <c r="E133" s="413"/>
      <c r="F133" s="413"/>
      <c r="G133" s="413"/>
      <c r="H133" s="413"/>
      <c r="I133" s="413"/>
      <c r="J133" s="413"/>
      <c r="K133" s="413"/>
      <c r="L133" s="413"/>
      <c r="M133" s="413"/>
      <c r="N133" s="413"/>
      <c r="O133" s="413"/>
    </row>
    <row r="134" spans="1:15" x14ac:dyDescent="0.25">
      <c r="A134" s="413"/>
      <c r="B134" s="413"/>
      <c r="C134" s="413"/>
      <c r="D134" s="413"/>
      <c r="E134" s="413"/>
      <c r="F134" s="413"/>
      <c r="G134" s="413"/>
      <c r="H134" s="413"/>
      <c r="I134" s="413"/>
      <c r="J134" s="413"/>
      <c r="K134" s="413"/>
      <c r="L134" s="413"/>
      <c r="M134" s="413"/>
      <c r="N134" s="413"/>
      <c r="O134" s="413"/>
    </row>
    <row r="135" spans="1:15" x14ac:dyDescent="0.25">
      <c r="A135" s="413"/>
      <c r="B135" s="413"/>
      <c r="C135" s="413"/>
      <c r="D135" s="413"/>
      <c r="E135" s="413"/>
      <c r="F135" s="413"/>
      <c r="G135" s="413"/>
      <c r="H135" s="413"/>
      <c r="I135" s="413"/>
      <c r="J135" s="413"/>
      <c r="K135" s="413"/>
      <c r="L135" s="413"/>
      <c r="M135" s="413"/>
      <c r="N135" s="413"/>
      <c r="O135" s="413"/>
    </row>
    <row r="136" spans="1:15" x14ac:dyDescent="0.25">
      <c r="A136" s="413"/>
      <c r="B136" s="413"/>
      <c r="C136" s="413"/>
      <c r="D136" s="413"/>
      <c r="E136" s="413"/>
      <c r="F136" s="413"/>
      <c r="G136" s="413"/>
      <c r="H136" s="413"/>
      <c r="I136" s="413"/>
      <c r="J136" s="413"/>
      <c r="K136" s="413"/>
      <c r="L136" s="413"/>
      <c r="M136" s="413"/>
      <c r="N136" s="413"/>
      <c r="O136" s="413"/>
    </row>
    <row r="137" spans="1:15" x14ac:dyDescent="0.25">
      <c r="A137" s="413"/>
      <c r="B137" s="413"/>
      <c r="C137" s="413"/>
      <c r="D137" s="413"/>
      <c r="E137" s="413"/>
      <c r="F137" s="413"/>
      <c r="G137" s="413"/>
      <c r="H137" s="413"/>
      <c r="I137" s="413"/>
      <c r="J137" s="413"/>
      <c r="K137" s="413"/>
      <c r="L137" s="413"/>
      <c r="M137" s="413"/>
      <c r="N137" s="413"/>
      <c r="O137" s="413"/>
    </row>
    <row r="138" spans="1:15" x14ac:dyDescent="0.25">
      <c r="A138" s="413"/>
      <c r="B138" s="413"/>
      <c r="C138" s="413"/>
      <c r="D138" s="413"/>
      <c r="E138" s="413"/>
      <c r="F138" s="413"/>
      <c r="G138" s="413"/>
      <c r="H138" s="413"/>
      <c r="I138" s="413"/>
      <c r="J138" s="413"/>
      <c r="K138" s="413"/>
      <c r="L138" s="413"/>
      <c r="M138" s="413"/>
      <c r="N138" s="413"/>
      <c r="O138" s="413"/>
    </row>
    <row r="139" spans="1:15" x14ac:dyDescent="0.25">
      <c r="A139" s="413"/>
      <c r="B139" s="413"/>
      <c r="C139" s="413"/>
      <c r="D139" s="413"/>
      <c r="E139" s="413"/>
      <c r="F139" s="413"/>
      <c r="G139" s="413"/>
      <c r="H139" s="413"/>
      <c r="I139" s="413"/>
      <c r="J139" s="413"/>
      <c r="K139" s="413"/>
      <c r="L139" s="413"/>
      <c r="M139" s="413"/>
      <c r="N139" s="413"/>
      <c r="O139" s="413"/>
    </row>
    <row r="140" spans="1:15" x14ac:dyDescent="0.25">
      <c r="A140" s="413"/>
      <c r="B140" s="413"/>
      <c r="C140" s="413"/>
      <c r="D140" s="413"/>
      <c r="E140" s="413"/>
      <c r="F140" s="413"/>
      <c r="G140" s="413"/>
      <c r="H140" s="413"/>
      <c r="I140" s="413"/>
      <c r="J140" s="413"/>
      <c r="K140" s="413"/>
      <c r="L140" s="413"/>
      <c r="M140" s="413"/>
      <c r="N140" s="413"/>
      <c r="O140" s="413"/>
    </row>
    <row r="141" spans="1:15" x14ac:dyDescent="0.25">
      <c r="A141" s="413"/>
      <c r="B141" s="413"/>
      <c r="C141" s="413"/>
      <c r="D141" s="413"/>
      <c r="E141" s="413"/>
      <c r="F141" s="413"/>
      <c r="G141" s="413"/>
      <c r="H141" s="413"/>
      <c r="I141" s="413"/>
      <c r="J141" s="413"/>
      <c r="K141" s="413"/>
      <c r="L141" s="413"/>
      <c r="M141" s="413"/>
      <c r="N141" s="413"/>
      <c r="O141" s="413"/>
    </row>
    <row r="142" spans="1:15" x14ac:dyDescent="0.25">
      <c r="A142" s="413"/>
      <c r="B142" s="413"/>
      <c r="C142" s="413"/>
      <c r="D142" s="413"/>
      <c r="E142" s="413"/>
      <c r="F142" s="413"/>
      <c r="G142" s="413"/>
      <c r="H142" s="413"/>
      <c r="I142" s="413"/>
      <c r="J142" s="413"/>
      <c r="K142" s="413"/>
      <c r="L142" s="413"/>
      <c r="M142" s="413"/>
      <c r="N142" s="413"/>
      <c r="O142" s="413"/>
    </row>
    <row r="143" spans="1:15" x14ac:dyDescent="0.25">
      <c r="A143" s="413"/>
      <c r="B143" s="413"/>
      <c r="C143" s="413"/>
      <c r="D143" s="413"/>
      <c r="E143" s="413"/>
      <c r="F143" s="413"/>
      <c r="G143" s="413"/>
      <c r="H143" s="413"/>
      <c r="I143" s="413"/>
      <c r="J143" s="413"/>
      <c r="K143" s="413"/>
      <c r="L143" s="413"/>
      <c r="M143" s="413"/>
      <c r="N143" s="413"/>
      <c r="O143" s="413"/>
    </row>
    <row r="144" spans="1:15" x14ac:dyDescent="0.25">
      <c r="A144" s="413"/>
      <c r="B144" s="413"/>
      <c r="C144" s="413"/>
      <c r="D144" s="413"/>
      <c r="E144" s="413"/>
      <c r="F144" s="413"/>
      <c r="G144" s="413"/>
      <c r="H144" s="413"/>
      <c r="I144" s="413"/>
      <c r="J144" s="413"/>
      <c r="K144" s="413"/>
      <c r="L144" s="413"/>
      <c r="M144" s="413"/>
      <c r="N144" s="413"/>
      <c r="O144" s="413"/>
    </row>
    <row r="145" spans="1:15" x14ac:dyDescent="0.25">
      <c r="A145" s="413"/>
      <c r="B145" s="413"/>
      <c r="C145" s="413"/>
      <c r="D145" s="413"/>
      <c r="E145" s="413"/>
      <c r="F145" s="413"/>
      <c r="G145" s="413"/>
      <c r="H145" s="413"/>
      <c r="I145" s="413"/>
      <c r="J145" s="413"/>
      <c r="K145" s="413"/>
      <c r="L145" s="413"/>
      <c r="M145" s="413"/>
      <c r="N145" s="413"/>
      <c r="O145" s="413"/>
    </row>
    <row r="146" spans="1:15" x14ac:dyDescent="0.25">
      <c r="A146" s="413"/>
      <c r="B146" s="413"/>
      <c r="C146" s="413"/>
      <c r="D146" s="413"/>
      <c r="E146" s="413"/>
      <c r="F146" s="413"/>
      <c r="G146" s="413"/>
      <c r="H146" s="413"/>
      <c r="I146" s="413"/>
      <c r="J146" s="413"/>
      <c r="K146" s="413"/>
      <c r="L146" s="413"/>
      <c r="M146" s="413"/>
      <c r="N146" s="413"/>
      <c r="O146" s="413"/>
    </row>
    <row r="147" spans="1:15" x14ac:dyDescent="0.25">
      <c r="A147" s="413"/>
      <c r="B147" s="413"/>
      <c r="C147" s="413"/>
      <c r="D147" s="413"/>
      <c r="E147" s="413"/>
      <c r="F147" s="413"/>
      <c r="G147" s="413"/>
      <c r="H147" s="413"/>
      <c r="I147" s="413"/>
      <c r="J147" s="413"/>
      <c r="K147" s="413"/>
      <c r="L147" s="413"/>
      <c r="M147" s="413"/>
      <c r="N147" s="413"/>
      <c r="O147" s="413"/>
    </row>
    <row r="148" spans="1:15" x14ac:dyDescent="0.25">
      <c r="A148" s="413"/>
      <c r="B148" s="413"/>
      <c r="C148" s="413"/>
      <c r="D148" s="413"/>
      <c r="E148" s="413"/>
      <c r="F148" s="413"/>
      <c r="G148" s="413"/>
      <c r="H148" s="413"/>
      <c r="I148" s="413"/>
      <c r="J148" s="413"/>
      <c r="K148" s="413"/>
      <c r="L148" s="413"/>
      <c r="M148" s="413"/>
      <c r="N148" s="413"/>
      <c r="O148" s="413"/>
    </row>
    <row r="149" spans="1:15" x14ac:dyDescent="0.25">
      <c r="A149" s="413"/>
      <c r="B149" s="413"/>
      <c r="C149" s="413"/>
      <c r="D149" s="413"/>
      <c r="E149" s="413"/>
      <c r="F149" s="413"/>
      <c r="G149" s="413"/>
      <c r="H149" s="413"/>
      <c r="I149" s="413"/>
      <c r="J149" s="413"/>
      <c r="K149" s="413"/>
      <c r="L149" s="413"/>
      <c r="M149" s="413"/>
      <c r="N149" s="413"/>
      <c r="O149" s="413"/>
    </row>
    <row r="150" spans="1:15" x14ac:dyDescent="0.25">
      <c r="A150" s="413"/>
      <c r="B150" s="413"/>
      <c r="C150" s="413"/>
      <c r="D150" s="413"/>
      <c r="E150" s="413"/>
      <c r="F150" s="413"/>
      <c r="G150" s="413"/>
      <c r="H150" s="413"/>
      <c r="I150" s="413"/>
      <c r="J150" s="413"/>
      <c r="K150" s="413"/>
      <c r="L150" s="413"/>
      <c r="M150" s="413"/>
      <c r="N150" s="413"/>
      <c r="O150" s="413"/>
    </row>
    <row r="151" spans="1:15" x14ac:dyDescent="0.25">
      <c r="A151" s="413"/>
      <c r="B151" s="413"/>
      <c r="C151" s="413"/>
      <c r="D151" s="413"/>
      <c r="E151" s="413"/>
      <c r="F151" s="413"/>
      <c r="G151" s="413"/>
      <c r="H151" s="413"/>
      <c r="I151" s="413"/>
      <c r="J151" s="413"/>
      <c r="K151" s="413"/>
      <c r="L151" s="413"/>
      <c r="M151" s="413"/>
      <c r="N151" s="413"/>
      <c r="O151" s="413"/>
    </row>
    <row r="152" spans="1:15" x14ac:dyDescent="0.25">
      <c r="A152" s="413"/>
      <c r="B152" s="413"/>
      <c r="C152" s="413"/>
      <c r="D152" s="413"/>
      <c r="E152" s="413"/>
      <c r="F152" s="413"/>
      <c r="G152" s="413"/>
      <c r="H152" s="413"/>
      <c r="I152" s="413"/>
      <c r="J152" s="413"/>
      <c r="K152" s="413"/>
      <c r="L152" s="413"/>
      <c r="M152" s="413"/>
      <c r="N152" s="413"/>
      <c r="O152" s="413"/>
    </row>
    <row r="153" spans="1:15" x14ac:dyDescent="0.25">
      <c r="A153" s="413"/>
      <c r="B153" s="413"/>
      <c r="C153" s="413"/>
      <c r="D153" s="413"/>
      <c r="E153" s="413"/>
      <c r="F153" s="413"/>
      <c r="G153" s="413"/>
      <c r="H153" s="413"/>
      <c r="I153" s="413"/>
      <c r="J153" s="413"/>
      <c r="K153" s="413"/>
      <c r="L153" s="413"/>
      <c r="M153" s="413"/>
      <c r="N153" s="413"/>
      <c r="O153" s="413"/>
    </row>
    <row r="154" spans="1:15" x14ac:dyDescent="0.25">
      <c r="A154" s="413"/>
      <c r="B154" s="413"/>
      <c r="C154" s="413"/>
      <c r="D154" s="413"/>
      <c r="E154" s="413"/>
      <c r="F154" s="413"/>
      <c r="G154" s="413"/>
      <c r="H154" s="413"/>
      <c r="I154" s="413"/>
      <c r="J154" s="413"/>
      <c r="K154" s="413"/>
      <c r="L154" s="413"/>
      <c r="M154" s="413"/>
      <c r="N154" s="413"/>
      <c r="O154" s="413"/>
    </row>
    <row r="155" spans="1:15" x14ac:dyDescent="0.25">
      <c r="A155" s="413"/>
      <c r="B155" s="413"/>
      <c r="C155" s="413"/>
      <c r="D155" s="413"/>
      <c r="E155" s="413"/>
      <c r="F155" s="413"/>
      <c r="G155" s="413"/>
      <c r="H155" s="413"/>
      <c r="I155" s="413"/>
      <c r="J155" s="413"/>
      <c r="K155" s="413"/>
      <c r="L155" s="413"/>
      <c r="M155" s="413"/>
      <c r="N155" s="413"/>
      <c r="O155" s="413"/>
    </row>
    <row r="156" spans="1:15" x14ac:dyDescent="0.25">
      <c r="A156" s="413"/>
      <c r="B156" s="413"/>
      <c r="C156" s="413"/>
      <c r="D156" s="413"/>
      <c r="E156" s="413"/>
      <c r="F156" s="413"/>
      <c r="G156" s="413"/>
      <c r="H156" s="413"/>
      <c r="I156" s="413"/>
      <c r="J156" s="413"/>
      <c r="K156" s="413"/>
      <c r="L156" s="413"/>
      <c r="M156" s="413"/>
      <c r="N156" s="413"/>
      <c r="O156" s="413"/>
    </row>
  </sheetData>
  <sheetProtection algorithmName="SHA-512" hashValue="c1xf0+BntNN9tWeSPyEOo2YDUCyvnilZPMNN+RAiGPWhgn5k3LJc8SWdoNlO2GBJetnR8AwJ/nxyiogj4O7PBA==" saltValue="/n44PHIrCkgNVr0mrh3+BQ==" spinCount="100000" sheet="1" objects="1" scenarios="1"/>
  <mergeCells count="6">
    <mergeCell ref="C12:E12"/>
    <mergeCell ref="C7:E7"/>
    <mergeCell ref="C8:E8"/>
    <mergeCell ref="C9:E9"/>
    <mergeCell ref="C10:E10"/>
    <mergeCell ref="C11:E11"/>
  </mergeCells>
  <pageMargins left="0.7" right="0.7" top="0.75" bottom="0.75" header="0.3" footer="0.3"/>
  <pageSetup scale="41" orientation="landscape"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FFCC"/>
    <pageSetUpPr fitToPage="1"/>
  </sheetPr>
  <dimension ref="A1:AO68"/>
  <sheetViews>
    <sheetView zoomScale="85" zoomScaleNormal="85" zoomScaleSheetLayoutView="40" workbookViewId="0"/>
  </sheetViews>
  <sheetFormatPr defaultColWidth="8.85546875" defaultRowHeight="15" x14ac:dyDescent="0.25"/>
  <cols>
    <col min="1" max="1" width="4.42578125" style="61" customWidth="1"/>
    <col min="2" max="2" width="9.7109375" style="61" customWidth="1"/>
    <col min="3" max="3" width="25.5703125" style="61" customWidth="1"/>
    <col min="4" max="4" width="11.85546875" style="61" customWidth="1"/>
    <col min="5" max="7" width="10.42578125" style="471" customWidth="1"/>
    <col min="8" max="8" width="10.42578125" style="61" customWidth="1"/>
    <col min="9" max="9" width="9.7109375" style="61" customWidth="1"/>
    <col min="10" max="10" width="4.42578125" style="61" customWidth="1"/>
    <col min="11" max="11" width="10.7109375" style="61" customWidth="1"/>
    <col min="12" max="12" width="14.7109375" style="61" customWidth="1"/>
    <col min="13" max="13" width="10.7109375" style="61" customWidth="1"/>
    <col min="14" max="14" width="14.7109375" style="61" customWidth="1"/>
    <col min="15" max="15" width="3.42578125" style="61" customWidth="1"/>
    <col min="16" max="16" width="3.28515625" style="61" customWidth="1"/>
    <col min="17" max="17" width="4.7109375" style="61" customWidth="1"/>
    <col min="18" max="18" width="30.7109375" style="61" customWidth="1"/>
    <col min="19" max="19" width="12.28515625" style="61" customWidth="1"/>
    <col min="20" max="21" width="8.85546875" style="61"/>
    <col min="22" max="22" width="9.5703125" style="61" customWidth="1"/>
    <col min="23" max="23" width="8.85546875" style="61"/>
    <col min="24" max="25" width="3.85546875" style="61" customWidth="1"/>
    <col min="26" max="26" width="5.28515625" style="61" customWidth="1"/>
    <col min="27" max="27" width="30.140625" style="61" customWidth="1"/>
    <col min="28" max="28" width="16.140625" style="61" customWidth="1"/>
    <col min="29" max="29" width="14.7109375" style="61" customWidth="1"/>
    <col min="30" max="31" width="3.5703125" style="61" customWidth="1"/>
    <col min="32" max="32" width="5.85546875" style="61" customWidth="1"/>
    <col min="33" max="33" width="29.5703125" style="61" customWidth="1"/>
    <col min="34" max="16384" width="8.85546875" style="61"/>
  </cols>
  <sheetData>
    <row r="1" spans="1:41" ht="53.25" x14ac:dyDescent="0.25">
      <c r="A1" s="117" t="s">
        <v>113</v>
      </c>
    </row>
    <row r="2" spans="1:41" ht="36" x14ac:dyDescent="0.25">
      <c r="A2" s="116" t="s">
        <v>125</v>
      </c>
    </row>
    <row r="4" spans="1:41" ht="15" customHeight="1" x14ac:dyDescent="0.25"/>
    <row r="5" spans="1:41" ht="15" customHeight="1" x14ac:dyDescent="0.25">
      <c r="B5" s="708" t="s">
        <v>324</v>
      </c>
      <c r="C5" s="708"/>
      <c r="D5" s="708"/>
      <c r="E5" s="708"/>
      <c r="F5" s="708"/>
      <c r="G5" s="708"/>
      <c r="H5" s="708"/>
      <c r="I5" s="76"/>
      <c r="J5" s="76"/>
      <c r="K5" s="708"/>
      <c r="L5" s="708"/>
      <c r="M5" s="708"/>
      <c r="N5" s="708"/>
      <c r="R5" s="708" t="s">
        <v>81</v>
      </c>
      <c r="S5" s="708"/>
      <c r="T5" s="708"/>
      <c r="U5" s="708"/>
      <c r="V5" s="708"/>
      <c r="W5" s="708"/>
      <c r="AA5" s="709" t="s">
        <v>82</v>
      </c>
      <c r="AB5" s="709"/>
      <c r="AC5" s="709"/>
      <c r="AG5" s="709" t="s">
        <v>102</v>
      </c>
      <c r="AH5" s="709"/>
      <c r="AI5" s="709"/>
      <c r="AJ5" s="709"/>
      <c r="AK5" s="709"/>
      <c r="AL5" s="709"/>
      <c r="AM5" s="709"/>
      <c r="AN5" s="709"/>
    </row>
    <row r="6" spans="1:41" ht="15" customHeight="1" x14ac:dyDescent="0.25">
      <c r="C6" s="471" t="s">
        <v>298</v>
      </c>
      <c r="D6" s="528">
        <v>1.1128</v>
      </c>
      <c r="I6" s="137"/>
      <c r="R6" s="152"/>
      <c r="S6" s="75"/>
      <c r="T6" s="75"/>
      <c r="U6" s="75"/>
      <c r="V6" s="75"/>
      <c r="W6" s="75"/>
      <c r="AA6" s="119"/>
      <c r="AB6" s="119"/>
      <c r="AC6" s="119"/>
      <c r="AG6" s="119"/>
      <c r="AH6" s="119"/>
      <c r="AI6" s="119"/>
      <c r="AJ6" s="119"/>
      <c r="AK6" s="119"/>
      <c r="AL6" s="119"/>
      <c r="AM6" s="119"/>
      <c r="AN6" s="119"/>
    </row>
    <row r="7" spans="1:41" ht="25.15" customHeight="1" x14ac:dyDescent="0.25">
      <c r="C7" s="138"/>
      <c r="D7" s="478"/>
      <c r="E7" s="478"/>
      <c r="F7" s="478"/>
      <c r="G7" s="478"/>
      <c r="H7" s="137"/>
      <c r="K7" s="140" t="s">
        <v>14</v>
      </c>
      <c r="L7" s="190" t="s">
        <v>202</v>
      </c>
      <c r="M7" s="139"/>
      <c r="N7" s="139"/>
      <c r="O7" s="72"/>
      <c r="Q7" s="109"/>
      <c r="R7" s="173"/>
      <c r="S7" s="706" t="s">
        <v>66</v>
      </c>
      <c r="T7" s="706" t="s">
        <v>67</v>
      </c>
      <c r="U7" s="706" t="s">
        <v>68</v>
      </c>
      <c r="V7" s="706" t="s">
        <v>69</v>
      </c>
      <c r="W7" s="706" t="s">
        <v>70</v>
      </c>
      <c r="X7" s="72"/>
      <c r="Z7" s="109"/>
      <c r="AA7" s="710" t="s">
        <v>193</v>
      </c>
      <c r="AB7" s="711"/>
      <c r="AC7" s="711"/>
      <c r="AD7" s="72"/>
      <c r="AF7" s="109"/>
      <c r="AG7" s="184" t="s">
        <v>196</v>
      </c>
      <c r="AH7" s="185"/>
      <c r="AI7" s="185"/>
      <c r="AJ7" s="185"/>
      <c r="AK7" s="185"/>
      <c r="AL7" s="185"/>
      <c r="AM7" s="185"/>
      <c r="AN7" s="185"/>
      <c r="AO7" s="72"/>
    </row>
    <row r="8" spans="1:41" ht="21" customHeight="1" x14ac:dyDescent="0.25">
      <c r="C8" s="140" t="s">
        <v>64</v>
      </c>
      <c r="D8" s="141" t="s">
        <v>74</v>
      </c>
      <c r="E8" s="141" t="s">
        <v>294</v>
      </c>
      <c r="F8" s="141" t="s">
        <v>295</v>
      </c>
      <c r="G8" s="141" t="s">
        <v>296</v>
      </c>
      <c r="H8" s="141" t="s">
        <v>297</v>
      </c>
      <c r="J8" s="109"/>
      <c r="K8" s="145" t="s">
        <v>13</v>
      </c>
      <c r="L8" s="202">
        <v>11637947</v>
      </c>
      <c r="O8" s="72"/>
      <c r="Q8" s="109"/>
      <c r="R8" s="174"/>
      <c r="S8" s="707"/>
      <c r="T8" s="707"/>
      <c r="U8" s="707"/>
      <c r="V8" s="707"/>
      <c r="W8" s="707"/>
      <c r="X8" s="72"/>
      <c r="Z8" s="109"/>
      <c r="AA8" s="178" t="s">
        <v>18</v>
      </c>
      <c r="AB8" s="142"/>
      <c r="AC8" s="143" t="s">
        <v>21</v>
      </c>
      <c r="AD8" s="72"/>
      <c r="AF8" s="109"/>
      <c r="AG8" s="186" t="s">
        <v>18</v>
      </c>
      <c r="AH8" s="186" t="s">
        <v>3</v>
      </c>
      <c r="AI8" s="186" t="s">
        <v>4</v>
      </c>
      <c r="AJ8" s="186" t="s">
        <v>84</v>
      </c>
      <c r="AK8" s="186" t="s">
        <v>5</v>
      </c>
      <c r="AL8" s="186" t="s">
        <v>6</v>
      </c>
      <c r="AM8" s="186" t="s">
        <v>7</v>
      </c>
      <c r="AN8" s="186" t="s">
        <v>8</v>
      </c>
      <c r="AO8" s="72"/>
    </row>
    <row r="9" spans="1:41" ht="15" customHeight="1" x14ac:dyDescent="0.25">
      <c r="C9" s="145" t="s">
        <v>75</v>
      </c>
      <c r="D9" s="172">
        <f>E9*H9+F9*G9</f>
        <v>27.014666640000002</v>
      </c>
      <c r="E9" s="479">
        <f>L57</f>
        <v>26.006136000000001</v>
      </c>
      <c r="F9" s="479">
        <f>((30.48*0.375+37.23*0.625)*$D$6)</f>
        <v>38.612769</v>
      </c>
      <c r="G9" s="488">
        <v>0.08</v>
      </c>
      <c r="H9" s="489">
        <f>1-G9</f>
        <v>0.92</v>
      </c>
      <c r="J9" s="109"/>
      <c r="K9" s="145" t="s">
        <v>12</v>
      </c>
      <c r="L9" s="202">
        <v>674353</v>
      </c>
      <c r="O9" s="72"/>
      <c r="Q9" s="109"/>
      <c r="R9" s="174"/>
      <c r="S9" s="707"/>
      <c r="T9" s="707"/>
      <c r="U9" s="707"/>
      <c r="V9" s="707"/>
      <c r="W9" s="707"/>
      <c r="X9" s="72"/>
      <c r="Z9" s="109"/>
      <c r="AA9" s="179" t="s">
        <v>75</v>
      </c>
      <c r="AB9" s="503"/>
      <c r="AC9" s="171">
        <v>1951</v>
      </c>
      <c r="AD9" s="72"/>
      <c r="AF9" s="109"/>
      <c r="AG9" s="145" t="s">
        <v>75</v>
      </c>
      <c r="AH9" s="187">
        <v>827.90094399999998</v>
      </c>
      <c r="AI9" s="187">
        <v>0</v>
      </c>
      <c r="AJ9" s="187">
        <v>197.58876800000002</v>
      </c>
      <c r="AK9" s="187">
        <v>0</v>
      </c>
      <c r="AL9" s="187">
        <v>895.5258</v>
      </c>
      <c r="AM9" s="187">
        <v>70.785207999999997</v>
      </c>
      <c r="AN9" s="187">
        <v>23.613616</v>
      </c>
      <c r="AO9" s="72"/>
    </row>
    <row r="10" spans="1:41" ht="15" customHeight="1" x14ac:dyDescent="0.25">
      <c r="C10" s="145" t="s">
        <v>31</v>
      </c>
      <c r="D10" s="172">
        <f t="shared" ref="D10:D13" si="0">E10*H10+F10*G10</f>
        <v>26.603932159999999</v>
      </c>
      <c r="E10" s="479">
        <f>L58</f>
        <v>26.061776000000002</v>
      </c>
      <c r="F10" s="479">
        <f>((30.44*0.6+37.25*0.4)*$D$6)</f>
        <v>36.904899200000003</v>
      </c>
      <c r="G10" s="488">
        <v>0.05</v>
      </c>
      <c r="H10" s="489">
        <f t="shared" ref="H10:H13" si="1">1-G10</f>
        <v>0.95</v>
      </c>
      <c r="J10" s="109"/>
      <c r="K10" s="145" t="s">
        <v>11</v>
      </c>
      <c r="L10" s="202">
        <v>204143</v>
      </c>
      <c r="O10" s="72"/>
      <c r="Q10" s="109"/>
      <c r="R10" s="692" t="s">
        <v>71</v>
      </c>
      <c r="S10" s="693"/>
      <c r="T10" s="693"/>
      <c r="U10" s="693"/>
      <c r="V10" s="693"/>
      <c r="W10" s="693"/>
      <c r="X10" s="72"/>
      <c r="Z10" s="109"/>
      <c r="AA10" s="179" t="s">
        <v>31</v>
      </c>
      <c r="AB10" s="503"/>
      <c r="AC10" s="171">
        <v>504</v>
      </c>
      <c r="AD10" s="72"/>
      <c r="AF10" s="109"/>
      <c r="AG10" s="145" t="s">
        <v>31</v>
      </c>
      <c r="AH10" s="187">
        <v>213.6576</v>
      </c>
      <c r="AI10" s="187">
        <v>0</v>
      </c>
      <c r="AJ10" s="187">
        <v>50.265176000000004</v>
      </c>
      <c r="AK10" s="187">
        <v>0</v>
      </c>
      <c r="AL10" s="187">
        <v>133.82532800000001</v>
      </c>
      <c r="AM10" s="187">
        <v>18.094128000000001</v>
      </c>
      <c r="AN10" s="187">
        <v>3.9949520000000001</v>
      </c>
      <c r="AO10" s="72"/>
    </row>
    <row r="11" spans="1:41" ht="15" customHeight="1" x14ac:dyDescent="0.25">
      <c r="C11" s="145" t="s">
        <v>68</v>
      </c>
      <c r="D11" s="172">
        <f t="shared" si="0"/>
        <v>26.580785919999997</v>
      </c>
      <c r="E11" s="479">
        <f>L59</f>
        <v>26.195311999999998</v>
      </c>
      <c r="F11" s="479">
        <f>((30.5*0.75+37.3*0.25)*$D$6)</f>
        <v>35.832160000000002</v>
      </c>
      <c r="G11" s="488">
        <v>0.04</v>
      </c>
      <c r="H11" s="489">
        <f t="shared" si="1"/>
        <v>0.96</v>
      </c>
      <c r="J11" s="109"/>
      <c r="K11" s="145" t="s">
        <v>10</v>
      </c>
      <c r="L11" s="202">
        <v>129001</v>
      </c>
      <c r="O11" s="72"/>
      <c r="Q11" s="109"/>
      <c r="R11" s="175" t="s">
        <v>22</v>
      </c>
      <c r="S11" s="171">
        <v>5147.7</v>
      </c>
      <c r="T11" s="171">
        <v>1258.26</v>
      </c>
      <c r="U11" s="171">
        <v>207.88</v>
      </c>
      <c r="V11" s="171">
        <v>1780.31</v>
      </c>
      <c r="W11" s="171">
        <v>104.82</v>
      </c>
      <c r="X11" s="72"/>
      <c r="Z11" s="109"/>
      <c r="AA11" s="179" t="s">
        <v>68</v>
      </c>
      <c r="AB11" s="503"/>
      <c r="AC11" s="171">
        <v>39</v>
      </c>
      <c r="AD11" s="72"/>
      <c r="AF11" s="109"/>
      <c r="AG11" s="145" t="s">
        <v>68</v>
      </c>
      <c r="AH11" s="187">
        <v>16.369288000000001</v>
      </c>
      <c r="AI11" s="187">
        <v>0</v>
      </c>
      <c r="AJ11" s="187">
        <v>3.95044</v>
      </c>
      <c r="AK11" s="187">
        <v>0</v>
      </c>
      <c r="AL11" s="187">
        <v>8.9246559999999988</v>
      </c>
      <c r="AM11" s="187">
        <v>1.4132560000000001</v>
      </c>
      <c r="AN11" s="187">
        <v>0.26707199999999998</v>
      </c>
      <c r="AO11" s="72"/>
    </row>
    <row r="12" spans="1:41" ht="15" customHeight="1" x14ac:dyDescent="0.25">
      <c r="C12" s="145" t="s">
        <v>76</v>
      </c>
      <c r="D12" s="172">
        <f t="shared" si="0"/>
        <v>28.981318080000005</v>
      </c>
      <c r="E12" s="479">
        <f>L60</f>
        <v>26.250952000000002</v>
      </c>
      <c r="F12" s="479">
        <f>((30.33*0.2+37.24*0.8)*$D$6)</f>
        <v>39.902782400000007</v>
      </c>
      <c r="G12" s="488">
        <v>0.2</v>
      </c>
      <c r="H12" s="489">
        <f t="shared" si="1"/>
        <v>0.8</v>
      </c>
      <c r="J12" s="109"/>
      <c r="K12" s="191" t="s">
        <v>9</v>
      </c>
      <c r="L12" s="202">
        <v>12108</v>
      </c>
      <c r="O12" s="72"/>
      <c r="Q12" s="109"/>
      <c r="R12" s="175" t="s">
        <v>23</v>
      </c>
      <c r="S12" s="171">
        <v>8590.02</v>
      </c>
      <c r="T12" s="171">
        <v>2094.75</v>
      </c>
      <c r="U12" s="171">
        <v>1400.59</v>
      </c>
      <c r="V12" s="171">
        <v>3294.58</v>
      </c>
      <c r="W12" s="171">
        <v>617.33000000000004</v>
      </c>
      <c r="X12" s="72"/>
      <c r="Z12" s="109"/>
      <c r="AA12" s="180" t="s">
        <v>77</v>
      </c>
      <c r="AB12" s="503"/>
      <c r="AC12" s="171">
        <v>294</v>
      </c>
      <c r="AD12" s="72"/>
      <c r="AF12" s="109"/>
      <c r="AG12" s="145" t="s">
        <v>77</v>
      </c>
      <c r="AH12" s="187">
        <v>124.600216</v>
      </c>
      <c r="AI12" s="187">
        <v>0</v>
      </c>
      <c r="AJ12" s="187">
        <v>59.723976</v>
      </c>
      <c r="AK12" s="187">
        <v>0</v>
      </c>
      <c r="AL12" s="187">
        <v>178.648912</v>
      </c>
      <c r="AM12" s="187">
        <v>10.382424</v>
      </c>
      <c r="AN12" s="187">
        <v>2.4370319999999999</v>
      </c>
      <c r="AO12" s="72"/>
    </row>
    <row r="13" spans="1:41" ht="15" customHeight="1" x14ac:dyDescent="0.25">
      <c r="C13" s="145" t="s">
        <v>70</v>
      </c>
      <c r="D13" s="172">
        <f t="shared" si="0"/>
        <v>27.56594776</v>
      </c>
      <c r="E13" s="479">
        <f>L61</f>
        <v>26.584792</v>
      </c>
      <c r="F13" s="479">
        <f>((30.82*(5/9)+37.27*(4/9))*$D$6)</f>
        <v>37.486522666666666</v>
      </c>
      <c r="G13" s="488">
        <v>0.09</v>
      </c>
      <c r="H13" s="489">
        <f t="shared" si="1"/>
        <v>0.91</v>
      </c>
      <c r="J13" s="109"/>
      <c r="K13" s="75"/>
      <c r="O13" s="72"/>
      <c r="Q13" s="109"/>
      <c r="R13" s="175" t="s">
        <v>24</v>
      </c>
      <c r="S13" s="171">
        <v>0.6</v>
      </c>
      <c r="T13" s="171">
        <v>0.6</v>
      </c>
      <c r="U13" s="171">
        <v>0.15</v>
      </c>
      <c r="V13" s="171">
        <v>0.54</v>
      </c>
      <c r="W13" s="171">
        <v>0.17</v>
      </c>
      <c r="X13" s="72"/>
      <c r="Z13" s="109"/>
      <c r="AA13" s="179" t="s">
        <v>70</v>
      </c>
      <c r="AB13" s="503"/>
      <c r="AC13" s="171">
        <v>36</v>
      </c>
      <c r="AD13" s="72"/>
      <c r="AF13" s="109"/>
      <c r="AG13" s="145" t="s">
        <v>70</v>
      </c>
      <c r="AH13" s="187">
        <v>15.467920000000001</v>
      </c>
      <c r="AI13" s="187">
        <v>0</v>
      </c>
      <c r="AJ13" s="187">
        <v>6.276192</v>
      </c>
      <c r="AK13" s="187">
        <v>0</v>
      </c>
      <c r="AL13" s="187">
        <v>17.537728000000001</v>
      </c>
      <c r="AM13" s="187">
        <v>1.27972</v>
      </c>
      <c r="AN13" s="187">
        <v>0.2782</v>
      </c>
      <c r="AO13" s="72"/>
    </row>
    <row r="14" spans="1:41" ht="15" customHeight="1" x14ac:dyDescent="0.25">
      <c r="C14" s="145"/>
      <c r="D14" s="471"/>
      <c r="H14" s="471"/>
      <c r="I14" s="471"/>
      <c r="J14" s="109"/>
      <c r="O14" s="72"/>
      <c r="Q14" s="109"/>
      <c r="R14" s="175" t="s">
        <v>25</v>
      </c>
      <c r="S14" s="171">
        <v>6729</v>
      </c>
      <c r="T14" s="171">
        <v>483</v>
      </c>
      <c r="U14" s="171">
        <v>291</v>
      </c>
      <c r="V14" s="171">
        <v>464</v>
      </c>
      <c r="W14" s="171">
        <v>99</v>
      </c>
      <c r="X14" s="72"/>
      <c r="Z14" s="109"/>
      <c r="AA14" s="179" t="s">
        <v>78</v>
      </c>
      <c r="AB14" s="503"/>
      <c r="AC14" s="171">
        <v>376</v>
      </c>
      <c r="AD14" s="72"/>
      <c r="AF14" s="109"/>
      <c r="AG14" s="145" t="s">
        <v>83</v>
      </c>
      <c r="AH14" s="187">
        <v>159.475368</v>
      </c>
      <c r="AI14" s="187">
        <v>0</v>
      </c>
      <c r="AJ14" s="187">
        <v>44.356208000000002</v>
      </c>
      <c r="AK14" s="187">
        <v>0</v>
      </c>
      <c r="AL14" s="187">
        <v>159.17491200000001</v>
      </c>
      <c r="AM14" s="187">
        <v>13.531648000000001</v>
      </c>
      <c r="AN14" s="187">
        <v>3.8169040000000001</v>
      </c>
      <c r="AO14" s="72"/>
    </row>
    <row r="15" spans="1:41" ht="15" customHeight="1" x14ac:dyDescent="0.25">
      <c r="B15" s="686" t="s">
        <v>192</v>
      </c>
      <c r="C15" s="687"/>
      <c r="D15" s="687"/>
      <c r="E15" s="687"/>
      <c r="F15" s="687"/>
      <c r="G15" s="687"/>
      <c r="H15" s="688"/>
      <c r="J15" s="154"/>
      <c r="O15" s="72"/>
      <c r="Q15" s="109"/>
      <c r="R15" s="175" t="s">
        <v>26</v>
      </c>
      <c r="S15" s="171">
        <v>4032.45</v>
      </c>
      <c r="T15" s="171">
        <v>290.13</v>
      </c>
      <c r="U15" s="171">
        <v>43.19</v>
      </c>
      <c r="V15" s="171">
        <v>250.73</v>
      </c>
      <c r="W15" s="171">
        <v>16.809999999999999</v>
      </c>
      <c r="X15" s="72"/>
      <c r="Z15" s="109"/>
      <c r="AA15" s="181"/>
      <c r="AB15" s="147"/>
      <c r="AC15" s="147"/>
      <c r="AD15" s="72"/>
      <c r="AF15" s="109"/>
      <c r="AG15" s="145"/>
      <c r="AH15" s="146"/>
      <c r="AI15" s="146"/>
      <c r="AJ15" s="146"/>
      <c r="AK15" s="146"/>
      <c r="AL15" s="146"/>
      <c r="AM15" s="146"/>
      <c r="AN15" s="146"/>
      <c r="AO15" s="72"/>
    </row>
    <row r="16" spans="1:41" ht="15" customHeight="1" x14ac:dyDescent="0.25">
      <c r="B16" s="694"/>
      <c r="C16" s="695"/>
      <c r="D16" s="695"/>
      <c r="E16" s="695"/>
      <c r="F16" s="695"/>
      <c r="G16" s="695"/>
      <c r="H16" s="696"/>
      <c r="J16" s="109"/>
      <c r="O16" s="72"/>
      <c r="Q16" s="109"/>
      <c r="R16" s="176" t="s">
        <v>72</v>
      </c>
      <c r="S16" s="171"/>
      <c r="T16" s="171"/>
      <c r="U16" s="171"/>
      <c r="V16" s="171"/>
      <c r="W16" s="171"/>
      <c r="X16" s="72"/>
      <c r="Z16" s="109"/>
      <c r="AA16" s="189" t="s">
        <v>194</v>
      </c>
      <c r="AD16" s="72"/>
      <c r="AF16" s="109"/>
      <c r="AG16" s="188" t="s">
        <v>197</v>
      </c>
      <c r="AH16" s="148"/>
      <c r="AI16" s="148"/>
      <c r="AJ16" s="148"/>
      <c r="AK16" s="148"/>
      <c r="AL16" s="148"/>
      <c r="AM16" s="148"/>
      <c r="AN16" s="148"/>
      <c r="AO16" s="72"/>
    </row>
    <row r="17" spans="2:41" ht="15" customHeight="1" x14ac:dyDescent="0.25">
      <c r="B17" s="689"/>
      <c r="C17" s="690"/>
      <c r="D17" s="690"/>
      <c r="E17" s="690"/>
      <c r="F17" s="690"/>
      <c r="G17" s="690"/>
      <c r="H17" s="691"/>
      <c r="J17" s="109"/>
      <c r="O17" s="72"/>
      <c r="Q17" s="109"/>
      <c r="R17" s="175" t="s">
        <v>22</v>
      </c>
      <c r="S17" s="171">
        <v>345.29</v>
      </c>
      <c r="T17" s="171">
        <v>68.56</v>
      </c>
      <c r="U17" s="171">
        <v>15.4</v>
      </c>
      <c r="V17" s="171">
        <v>207.68</v>
      </c>
      <c r="W17" s="171">
        <v>13.86</v>
      </c>
      <c r="X17" s="72"/>
      <c r="Z17" s="109"/>
      <c r="AA17" s="178" t="s">
        <v>18</v>
      </c>
      <c r="AB17" s="142"/>
      <c r="AC17" s="143" t="s">
        <v>21</v>
      </c>
      <c r="AD17" s="72"/>
      <c r="AF17" s="109"/>
      <c r="AG17" s="144" t="s">
        <v>18</v>
      </c>
      <c r="AH17" s="149" t="s">
        <v>3</v>
      </c>
      <c r="AI17" s="149" t="s">
        <v>4</v>
      </c>
      <c r="AJ17" s="149" t="s">
        <v>84</v>
      </c>
      <c r="AK17" s="149" t="s">
        <v>5</v>
      </c>
      <c r="AL17" s="149" t="s">
        <v>6</v>
      </c>
      <c r="AM17" s="149" t="s">
        <v>7</v>
      </c>
      <c r="AN17" s="149" t="s">
        <v>8</v>
      </c>
      <c r="AO17" s="72"/>
    </row>
    <row r="18" spans="2:41" ht="15" customHeight="1" x14ac:dyDescent="0.25">
      <c r="J18" s="109"/>
      <c r="L18" s="527"/>
      <c r="O18" s="72"/>
      <c r="Q18" s="109"/>
      <c r="R18" s="175" t="s">
        <v>23</v>
      </c>
      <c r="S18" s="171">
        <v>1022.25</v>
      </c>
      <c r="T18" s="171">
        <v>145.66</v>
      </c>
      <c r="U18" s="171">
        <v>87.83</v>
      </c>
      <c r="V18" s="171">
        <v>711.47</v>
      </c>
      <c r="W18" s="171">
        <v>108.99</v>
      </c>
      <c r="X18" s="72"/>
      <c r="Z18" s="109"/>
      <c r="AA18" s="179" t="s">
        <v>75</v>
      </c>
      <c r="AB18" s="503"/>
      <c r="AC18" s="171">
        <v>412</v>
      </c>
      <c r="AD18" s="72"/>
      <c r="AF18" s="109"/>
      <c r="AG18" s="145" t="s">
        <v>75</v>
      </c>
      <c r="AH18" s="187">
        <v>174.90990400000001</v>
      </c>
      <c r="AI18" s="187">
        <v>0</v>
      </c>
      <c r="AJ18" s="187">
        <v>41.741127999999996</v>
      </c>
      <c r="AK18" s="187">
        <v>0</v>
      </c>
      <c r="AL18" s="187">
        <v>189.15374399999999</v>
      </c>
      <c r="AM18" s="187">
        <v>14.978288000000001</v>
      </c>
      <c r="AN18" s="187">
        <v>4.9853440000000004</v>
      </c>
      <c r="AO18" s="72"/>
    </row>
    <row r="19" spans="2:41" ht="15" customHeight="1" x14ac:dyDescent="0.25">
      <c r="J19" s="109"/>
      <c r="L19" s="527"/>
      <c r="O19" s="72"/>
      <c r="Q19" s="109"/>
      <c r="R19" s="175" t="s">
        <v>24</v>
      </c>
      <c r="S19" s="171">
        <v>0.34</v>
      </c>
      <c r="T19" s="171">
        <v>0.47</v>
      </c>
      <c r="U19" s="171">
        <v>0.18</v>
      </c>
      <c r="V19" s="171">
        <v>0.28999999999999998</v>
      </c>
      <c r="W19" s="171">
        <v>0.13</v>
      </c>
      <c r="X19" s="72"/>
      <c r="Z19" s="109"/>
      <c r="AA19" s="179" t="s">
        <v>31</v>
      </c>
      <c r="AB19" s="503"/>
      <c r="AC19" s="171">
        <v>112</v>
      </c>
      <c r="AD19" s="72"/>
      <c r="AF19" s="109"/>
      <c r="AG19" s="145" t="s">
        <v>31</v>
      </c>
      <c r="AH19" s="187">
        <v>47.383023999999999</v>
      </c>
      <c r="AI19" s="187">
        <v>0</v>
      </c>
      <c r="AJ19" s="187">
        <v>11.139127999999999</v>
      </c>
      <c r="AK19" s="187">
        <v>0</v>
      </c>
      <c r="AL19" s="187">
        <v>29.155359999999998</v>
      </c>
      <c r="AM19" s="187">
        <v>4.0172080000000001</v>
      </c>
      <c r="AN19" s="187">
        <v>0.879112</v>
      </c>
      <c r="AO19" s="72"/>
    </row>
    <row r="20" spans="2:41" ht="23.45" customHeight="1" x14ac:dyDescent="0.25">
      <c r="J20" s="109"/>
      <c r="K20" s="543"/>
      <c r="L20" s="527"/>
      <c r="O20" s="72"/>
      <c r="Q20" s="109"/>
      <c r="R20" s="175" t="s">
        <v>25</v>
      </c>
      <c r="S20" s="171">
        <v>2522</v>
      </c>
      <c r="T20" s="171">
        <v>137</v>
      </c>
      <c r="U20" s="171">
        <v>108</v>
      </c>
      <c r="V20" s="171">
        <v>159</v>
      </c>
      <c r="W20" s="171">
        <v>34</v>
      </c>
      <c r="X20" s="72"/>
      <c r="Z20" s="109"/>
      <c r="AA20" s="180" t="s">
        <v>68</v>
      </c>
      <c r="AB20" s="503"/>
      <c r="AC20" s="171">
        <v>17</v>
      </c>
      <c r="AD20" s="72"/>
      <c r="AF20" s="109"/>
      <c r="AG20" s="145" t="s">
        <v>68</v>
      </c>
      <c r="AH20" s="187">
        <v>7.1775600000000006</v>
      </c>
      <c r="AI20" s="187">
        <v>0</v>
      </c>
      <c r="AJ20" s="187">
        <v>1.7248400000000002</v>
      </c>
      <c r="AK20" s="187">
        <v>0</v>
      </c>
      <c r="AL20" s="187">
        <v>3.7612639999999997</v>
      </c>
      <c r="AM20" s="187">
        <v>0.62316800000000006</v>
      </c>
      <c r="AN20" s="187">
        <v>0.122408</v>
      </c>
      <c r="AO20" s="72"/>
    </row>
    <row r="21" spans="2:41" ht="15" customHeight="1" x14ac:dyDescent="0.25">
      <c r="I21" s="471"/>
      <c r="J21" s="471"/>
      <c r="K21" s="529"/>
      <c r="L21" s="527"/>
      <c r="O21" s="72"/>
      <c r="Q21" s="109"/>
      <c r="R21" s="175" t="s">
        <v>26</v>
      </c>
      <c r="S21" s="171">
        <v>851.85</v>
      </c>
      <c r="T21" s="171">
        <v>64.48</v>
      </c>
      <c r="U21" s="171">
        <v>18.940000000000001</v>
      </c>
      <c r="V21" s="171">
        <v>46.41</v>
      </c>
      <c r="W21" s="171">
        <v>4.32</v>
      </c>
      <c r="X21" s="72"/>
      <c r="Z21" s="109"/>
      <c r="AA21" s="180" t="s">
        <v>77</v>
      </c>
      <c r="AB21" s="503"/>
      <c r="AC21" s="171">
        <v>54</v>
      </c>
      <c r="AD21" s="72"/>
      <c r="AF21" s="109"/>
      <c r="AG21" s="145" t="s">
        <v>77</v>
      </c>
      <c r="AH21" s="187">
        <v>22.979319999999998</v>
      </c>
      <c r="AI21" s="187">
        <v>0</v>
      </c>
      <c r="AJ21" s="187">
        <v>11.016720000000001</v>
      </c>
      <c r="AK21" s="187">
        <v>0</v>
      </c>
      <c r="AL21" s="187">
        <v>33.050159999999998</v>
      </c>
      <c r="AM21" s="187">
        <v>1.936272</v>
      </c>
      <c r="AN21" s="187">
        <v>0.44512000000000002</v>
      </c>
      <c r="AO21" s="72"/>
    </row>
    <row r="22" spans="2:41" ht="15" customHeight="1" x14ac:dyDescent="0.25">
      <c r="I22" s="471"/>
      <c r="J22" s="471"/>
      <c r="K22" s="471"/>
      <c r="L22" s="527"/>
      <c r="M22" s="471"/>
      <c r="O22" s="72"/>
      <c r="Q22" s="109"/>
      <c r="R22" s="176" t="s">
        <v>73</v>
      </c>
      <c r="S22" s="171"/>
      <c r="T22" s="171"/>
      <c r="U22" s="171"/>
      <c r="V22" s="171"/>
      <c r="W22" s="171"/>
      <c r="X22" s="72"/>
      <c r="Z22" s="109"/>
      <c r="AA22" s="179" t="s">
        <v>70</v>
      </c>
      <c r="AB22" s="503"/>
      <c r="AC22" s="171">
        <v>9</v>
      </c>
      <c r="AD22" s="72"/>
      <c r="AF22" s="109"/>
      <c r="AG22" s="145" t="s">
        <v>70</v>
      </c>
      <c r="AH22" s="187">
        <v>3.9281839999999999</v>
      </c>
      <c r="AI22" s="187">
        <v>0</v>
      </c>
      <c r="AJ22" s="187">
        <v>1.5913040000000001</v>
      </c>
      <c r="AK22" s="187">
        <v>0</v>
      </c>
      <c r="AL22" s="187">
        <v>4.3844320000000003</v>
      </c>
      <c r="AM22" s="187">
        <v>0.322712</v>
      </c>
      <c r="AN22" s="187">
        <v>6.6767999999999994E-2</v>
      </c>
      <c r="AO22" s="72"/>
    </row>
    <row r="23" spans="2:41" ht="15" customHeight="1" x14ac:dyDescent="0.25">
      <c r="I23" s="471"/>
      <c r="J23" s="471"/>
      <c r="K23" s="471"/>
      <c r="L23" s="527"/>
      <c r="M23" s="471"/>
      <c r="O23" s="72"/>
      <c r="Q23" s="109"/>
      <c r="R23" s="175" t="s">
        <v>22</v>
      </c>
      <c r="S23" s="171">
        <v>215</v>
      </c>
      <c r="T23" s="171">
        <v>49.94</v>
      </c>
      <c r="U23" s="171">
        <v>10.32</v>
      </c>
      <c r="V23" s="171">
        <v>146.25</v>
      </c>
      <c r="W23" s="171">
        <v>10.33</v>
      </c>
      <c r="X23" s="72"/>
      <c r="Z23" s="109"/>
      <c r="AA23" s="179" t="s">
        <v>78</v>
      </c>
      <c r="AB23" s="503"/>
      <c r="AC23" s="171">
        <v>81</v>
      </c>
      <c r="AD23" s="72"/>
      <c r="AF23" s="109"/>
      <c r="AG23" s="145" t="s">
        <v>83</v>
      </c>
      <c r="AH23" s="187">
        <v>34.285367999999998</v>
      </c>
      <c r="AI23" s="187">
        <v>0</v>
      </c>
      <c r="AJ23" s="187">
        <v>9.4031599999999997</v>
      </c>
      <c r="AK23" s="187">
        <v>0</v>
      </c>
      <c r="AL23" s="187">
        <v>33.450767999999997</v>
      </c>
      <c r="AM23" s="187">
        <v>2.9155360000000003</v>
      </c>
      <c r="AN23" s="187">
        <v>0.81234399999999996</v>
      </c>
      <c r="AO23" s="72"/>
    </row>
    <row r="24" spans="2:41" ht="15" customHeight="1" x14ac:dyDescent="0.25">
      <c r="B24" s="471"/>
      <c r="C24" s="471"/>
      <c r="D24" s="471"/>
      <c r="H24" s="471"/>
      <c r="I24" s="471"/>
      <c r="J24" s="471"/>
      <c r="K24" s="471"/>
      <c r="L24" s="471"/>
      <c r="M24" s="471"/>
      <c r="O24" s="72"/>
      <c r="Q24" s="109"/>
      <c r="R24" s="175" t="s">
        <v>23</v>
      </c>
      <c r="S24" s="171">
        <v>636.05999999999995</v>
      </c>
      <c r="T24" s="171">
        <v>139.4</v>
      </c>
      <c r="U24" s="171">
        <v>82.49</v>
      </c>
      <c r="V24" s="171">
        <v>415.83</v>
      </c>
      <c r="W24" s="171">
        <v>81.13</v>
      </c>
      <c r="X24" s="72"/>
      <c r="Z24" s="109"/>
      <c r="AA24" s="182"/>
      <c r="AB24" s="150"/>
      <c r="AC24" s="150"/>
      <c r="AD24" s="72"/>
      <c r="AF24" s="109"/>
      <c r="AG24" s="95"/>
      <c r="AH24" s="151"/>
      <c r="AI24" s="151"/>
      <c r="AJ24" s="151"/>
      <c r="AK24" s="151"/>
      <c r="AL24" s="151"/>
      <c r="AM24" s="151"/>
      <c r="AN24" s="151"/>
      <c r="AO24" s="72"/>
    </row>
    <row r="25" spans="2:41" ht="15" customHeight="1" x14ac:dyDescent="0.25">
      <c r="B25" s="471"/>
      <c r="C25" s="471"/>
      <c r="D25" s="471"/>
      <c r="H25" s="471"/>
      <c r="I25" s="471"/>
      <c r="J25" s="471"/>
      <c r="K25" s="471"/>
      <c r="L25" s="471"/>
      <c r="M25" s="471"/>
      <c r="O25" s="72"/>
      <c r="Q25" s="109"/>
      <c r="R25" s="175" t="s">
        <v>24</v>
      </c>
      <c r="S25" s="171">
        <v>0.34</v>
      </c>
      <c r="T25" s="171">
        <v>0.36</v>
      </c>
      <c r="U25" s="171">
        <v>0.13</v>
      </c>
      <c r="V25" s="171">
        <v>0.35</v>
      </c>
      <c r="W25" s="171">
        <v>0.13</v>
      </c>
      <c r="X25" s="72"/>
      <c r="Z25" s="109"/>
      <c r="AA25" s="189" t="s">
        <v>195</v>
      </c>
      <c r="AD25" s="72"/>
      <c r="AF25" s="109"/>
      <c r="AG25" s="188" t="s">
        <v>198</v>
      </c>
      <c r="AH25" s="148"/>
      <c r="AI25" s="148"/>
      <c r="AJ25" s="148"/>
      <c r="AK25" s="148"/>
      <c r="AL25" s="148"/>
      <c r="AM25" s="148"/>
      <c r="AN25" s="148"/>
      <c r="AO25" s="72"/>
    </row>
    <row r="26" spans="2:41" ht="15" customHeight="1" x14ac:dyDescent="0.25">
      <c r="B26" s="471"/>
      <c r="C26" s="471"/>
      <c r="D26" s="471"/>
      <c r="H26" s="471"/>
      <c r="I26" s="471"/>
      <c r="J26" s="471"/>
      <c r="K26" s="471"/>
      <c r="L26" s="471"/>
      <c r="M26" s="471"/>
      <c r="O26" s="72"/>
      <c r="Q26" s="109"/>
      <c r="R26" s="175" t="s">
        <v>25</v>
      </c>
      <c r="S26" s="171">
        <v>2144</v>
      </c>
      <c r="T26" s="171">
        <v>109</v>
      </c>
      <c r="U26" s="171">
        <v>91</v>
      </c>
      <c r="V26" s="171">
        <v>134</v>
      </c>
      <c r="W26" s="171">
        <v>28</v>
      </c>
      <c r="X26" s="72"/>
      <c r="Z26" s="109"/>
      <c r="AA26" s="178" t="s">
        <v>18</v>
      </c>
      <c r="AB26" s="142"/>
      <c r="AC26" s="143" t="s">
        <v>21</v>
      </c>
      <c r="AD26" s="72"/>
      <c r="AF26" s="109"/>
      <c r="AG26" s="144" t="s">
        <v>18</v>
      </c>
      <c r="AH26" s="149" t="s">
        <v>3</v>
      </c>
      <c r="AI26" s="149" t="s">
        <v>4</v>
      </c>
      <c r="AJ26" s="149" t="s">
        <v>84</v>
      </c>
      <c r="AK26" s="149" t="s">
        <v>5</v>
      </c>
      <c r="AL26" s="149" t="s">
        <v>6</v>
      </c>
      <c r="AM26" s="149" t="s">
        <v>7</v>
      </c>
      <c r="AN26" s="149" t="s">
        <v>8</v>
      </c>
      <c r="AO26" s="72"/>
    </row>
    <row r="27" spans="2:41" ht="15" customHeight="1" x14ac:dyDescent="0.25">
      <c r="B27" s="471"/>
      <c r="C27" s="471"/>
      <c r="D27" s="471"/>
      <c r="H27" s="471"/>
      <c r="I27" s="471"/>
      <c r="J27" s="471"/>
      <c r="K27" s="471"/>
      <c r="L27" s="471"/>
      <c r="M27" s="471"/>
      <c r="O27" s="72"/>
      <c r="Q27" s="109"/>
      <c r="R27" s="177" t="s">
        <v>26</v>
      </c>
      <c r="S27" s="171">
        <v>724.71</v>
      </c>
      <c r="T27" s="171">
        <v>39.049999999999997</v>
      </c>
      <c r="U27" s="171">
        <v>11.38</v>
      </c>
      <c r="V27" s="171">
        <v>47.13</v>
      </c>
      <c r="W27" s="171">
        <v>3.57</v>
      </c>
      <c r="X27" s="72"/>
      <c r="Z27" s="109"/>
      <c r="AA27" s="179" t="s">
        <v>75</v>
      </c>
      <c r="AB27" s="503"/>
      <c r="AC27" s="171">
        <v>351</v>
      </c>
      <c r="AD27" s="72"/>
      <c r="AF27" s="109"/>
      <c r="AG27" s="145" t="s">
        <v>75</v>
      </c>
      <c r="AH27" s="187">
        <v>148.75910400000001</v>
      </c>
      <c r="AI27" s="187">
        <v>0</v>
      </c>
      <c r="AJ27" s="187">
        <v>35.509447999999999</v>
      </c>
      <c r="AK27" s="187">
        <v>0</v>
      </c>
      <c r="AL27" s="187">
        <v>160.61042400000002</v>
      </c>
      <c r="AM27" s="187">
        <v>12.674792</v>
      </c>
      <c r="AN27" s="187">
        <v>4.2397679999999998</v>
      </c>
      <c r="AO27" s="72"/>
    </row>
    <row r="28" spans="2:41" ht="15" customHeight="1" x14ac:dyDescent="0.25">
      <c r="B28" s="471"/>
      <c r="C28" s="471"/>
      <c r="D28" s="471"/>
      <c r="H28" s="471"/>
      <c r="I28" s="471"/>
      <c r="J28" s="471"/>
      <c r="K28" s="471"/>
      <c r="L28" s="471"/>
      <c r="M28" s="471"/>
      <c r="O28" s="72"/>
      <c r="R28" s="74"/>
      <c r="S28" s="74"/>
      <c r="T28" s="74"/>
      <c r="U28" s="74"/>
      <c r="V28" s="74"/>
      <c r="W28" s="74"/>
      <c r="Z28" s="109"/>
      <c r="AA28" s="179" t="s">
        <v>31</v>
      </c>
      <c r="AB28" s="503"/>
      <c r="AC28" s="171">
        <v>68</v>
      </c>
      <c r="AD28" s="72"/>
      <c r="AF28" s="109"/>
      <c r="AG28" s="145" t="s">
        <v>31</v>
      </c>
      <c r="AH28" s="187">
        <v>28.710240000000002</v>
      </c>
      <c r="AI28" s="187">
        <v>0</v>
      </c>
      <c r="AJ28" s="187">
        <v>6.754696</v>
      </c>
      <c r="AK28" s="187">
        <v>0</v>
      </c>
      <c r="AL28" s="187">
        <v>18.338944000000001</v>
      </c>
      <c r="AM28" s="187">
        <v>2.4147759999999998</v>
      </c>
      <c r="AN28" s="187">
        <v>0.53414399999999995</v>
      </c>
      <c r="AO28" s="72"/>
    </row>
    <row r="29" spans="2:41" ht="15" customHeight="1" x14ac:dyDescent="0.25">
      <c r="B29" s="471"/>
      <c r="C29" s="471"/>
      <c r="D29" s="471"/>
      <c r="H29" s="471"/>
      <c r="I29" s="471"/>
      <c r="J29" s="471"/>
      <c r="K29" s="471"/>
      <c r="L29" s="471"/>
      <c r="M29" s="471"/>
      <c r="O29" s="72"/>
      <c r="R29" s="686" t="s">
        <v>285</v>
      </c>
      <c r="S29" s="687"/>
      <c r="T29" s="687"/>
      <c r="U29" s="687"/>
      <c r="V29" s="687"/>
      <c r="W29" s="688"/>
      <c r="Z29" s="109"/>
      <c r="AA29" s="179" t="s">
        <v>68</v>
      </c>
      <c r="AB29" s="503"/>
      <c r="AC29" s="171">
        <v>10</v>
      </c>
      <c r="AD29" s="72"/>
      <c r="AF29" s="109"/>
      <c r="AG29" s="145" t="s">
        <v>68</v>
      </c>
      <c r="AH29" s="187">
        <v>4.328792</v>
      </c>
      <c r="AI29" s="187">
        <v>0</v>
      </c>
      <c r="AJ29" s="187">
        <v>1.0460319999999999</v>
      </c>
      <c r="AK29" s="187">
        <v>0</v>
      </c>
      <c r="AL29" s="187">
        <v>2.2478560000000001</v>
      </c>
      <c r="AM29" s="187">
        <v>0.35609600000000002</v>
      </c>
      <c r="AN29" s="187">
        <v>7.7896000000000007E-2</v>
      </c>
      <c r="AO29" s="72"/>
    </row>
    <row r="30" spans="2:41" ht="15.6" customHeight="1" x14ac:dyDescent="0.25">
      <c r="B30" s="697" t="s">
        <v>321</v>
      </c>
      <c r="C30" s="698"/>
      <c r="D30" s="698"/>
      <c r="E30" s="698"/>
      <c r="F30" s="698"/>
      <c r="G30" s="698"/>
      <c r="H30" s="699"/>
      <c r="I30" s="471"/>
      <c r="J30" s="471"/>
      <c r="K30" s="471"/>
      <c r="L30" s="471"/>
      <c r="M30" s="471"/>
      <c r="O30" s="72"/>
      <c r="R30" s="689"/>
      <c r="S30" s="690"/>
      <c r="T30" s="690"/>
      <c r="U30" s="690"/>
      <c r="V30" s="690"/>
      <c r="W30" s="691"/>
      <c r="Z30" s="109"/>
      <c r="AA30" s="179" t="s">
        <v>77</v>
      </c>
      <c r="AB30" s="503"/>
      <c r="AC30" s="171">
        <v>55</v>
      </c>
      <c r="AD30" s="72"/>
      <c r="AF30" s="109"/>
      <c r="AG30" s="145" t="s">
        <v>77</v>
      </c>
      <c r="AH30" s="187">
        <v>23.379928000000003</v>
      </c>
      <c r="AI30" s="187">
        <v>0</v>
      </c>
      <c r="AJ30" s="187">
        <v>11.205896000000001</v>
      </c>
      <c r="AK30" s="187">
        <v>0</v>
      </c>
      <c r="AL30" s="187">
        <v>33.384</v>
      </c>
      <c r="AM30" s="187">
        <v>1.9140159999999999</v>
      </c>
      <c r="AN30" s="187">
        <v>0.45624799999999999</v>
      </c>
      <c r="AO30" s="72"/>
    </row>
    <row r="31" spans="2:41" ht="15" customHeight="1" x14ac:dyDescent="0.25">
      <c r="B31" s="700"/>
      <c r="C31" s="701"/>
      <c r="D31" s="701"/>
      <c r="E31" s="701"/>
      <c r="F31" s="701"/>
      <c r="G31" s="701"/>
      <c r="H31" s="702"/>
      <c r="O31" s="72"/>
      <c r="Z31" s="109"/>
      <c r="AA31" s="179" t="s">
        <v>70</v>
      </c>
      <c r="AB31" s="503"/>
      <c r="AC31" s="171">
        <v>8</v>
      </c>
      <c r="AD31" s="72"/>
      <c r="AF31" s="109"/>
      <c r="AG31" s="145" t="s">
        <v>70</v>
      </c>
      <c r="AH31" s="187">
        <v>3.2827600000000001</v>
      </c>
      <c r="AI31" s="187">
        <v>0</v>
      </c>
      <c r="AJ31" s="187">
        <v>1.3353599999999999</v>
      </c>
      <c r="AK31" s="187">
        <v>0</v>
      </c>
      <c r="AL31" s="187">
        <v>3.594344</v>
      </c>
      <c r="AM31" s="187">
        <v>0.2782</v>
      </c>
      <c r="AN31" s="187">
        <v>5.5640000000000002E-2</v>
      </c>
      <c r="AO31" s="72"/>
    </row>
    <row r="32" spans="2:41" ht="15" customHeight="1" x14ac:dyDescent="0.25">
      <c r="B32" s="700"/>
      <c r="C32" s="701"/>
      <c r="D32" s="701"/>
      <c r="E32" s="701"/>
      <c r="F32" s="701"/>
      <c r="G32" s="701"/>
      <c r="H32" s="702"/>
      <c r="O32" s="413"/>
      <c r="P32" s="413"/>
      <c r="Q32" s="413"/>
      <c r="R32" s="413"/>
      <c r="S32" s="413"/>
      <c r="T32" s="413"/>
      <c r="U32" s="413"/>
      <c r="Z32" s="109"/>
      <c r="AA32" s="183" t="s">
        <v>78</v>
      </c>
      <c r="AB32" s="503"/>
      <c r="AC32" s="171">
        <v>64</v>
      </c>
      <c r="AD32" s="72"/>
      <c r="AF32" s="109"/>
      <c r="AG32" s="145" t="s">
        <v>83</v>
      </c>
      <c r="AH32" s="187">
        <v>27.163447999999999</v>
      </c>
      <c r="AI32" s="187">
        <v>0</v>
      </c>
      <c r="AJ32" s="187">
        <v>7.7005759999999999</v>
      </c>
      <c r="AK32" s="187">
        <v>0</v>
      </c>
      <c r="AL32" s="187">
        <v>27.853384000000002</v>
      </c>
      <c r="AM32" s="187">
        <v>2.2923680000000002</v>
      </c>
      <c r="AN32" s="187">
        <v>0.65655200000000002</v>
      </c>
      <c r="AO32" s="72"/>
    </row>
    <row r="33" spans="2:40" ht="15" customHeight="1" x14ac:dyDescent="0.25">
      <c r="B33" s="700"/>
      <c r="C33" s="701"/>
      <c r="D33" s="701"/>
      <c r="E33" s="701"/>
      <c r="F33" s="701"/>
      <c r="G33" s="701"/>
      <c r="H33" s="702"/>
      <c r="O33" s="413"/>
      <c r="P33" s="413"/>
      <c r="Q33" s="413"/>
      <c r="R33" s="413"/>
      <c r="S33" s="413"/>
      <c r="T33" s="413"/>
      <c r="U33" s="413"/>
      <c r="AA33" s="74"/>
      <c r="AB33" s="74"/>
      <c r="AC33" s="74"/>
      <c r="AG33" s="74"/>
      <c r="AH33" s="74"/>
      <c r="AI33" s="74"/>
      <c r="AJ33" s="74"/>
      <c r="AK33" s="74"/>
      <c r="AL33" s="74"/>
      <c r="AM33" s="74"/>
      <c r="AN33" s="74"/>
    </row>
    <row r="34" spans="2:40" ht="15" customHeight="1" x14ac:dyDescent="0.25">
      <c r="B34" s="703"/>
      <c r="C34" s="704"/>
      <c r="D34" s="704"/>
      <c r="E34" s="704"/>
      <c r="F34" s="704"/>
      <c r="G34" s="704"/>
      <c r="H34" s="705"/>
      <c r="O34" s="413"/>
      <c r="P34" s="413"/>
      <c r="Q34" s="413"/>
      <c r="R34" s="413"/>
      <c r="S34" s="413"/>
      <c r="T34" s="413"/>
      <c r="U34" s="413"/>
      <c r="AA34" s="686" t="s">
        <v>191</v>
      </c>
      <c r="AB34" s="687"/>
      <c r="AC34" s="687"/>
      <c r="AG34" s="686" t="s">
        <v>191</v>
      </c>
      <c r="AH34" s="687"/>
      <c r="AI34" s="687"/>
      <c r="AJ34" s="687"/>
      <c r="AK34" s="687"/>
      <c r="AL34" s="687"/>
      <c r="AM34" s="687"/>
      <c r="AN34" s="688"/>
    </row>
    <row r="35" spans="2:40" ht="15" customHeight="1" x14ac:dyDescent="0.25">
      <c r="B35" s="471"/>
      <c r="C35" s="471"/>
      <c r="D35" s="471"/>
      <c r="O35" s="413"/>
      <c r="P35" s="413"/>
      <c r="Q35" s="413"/>
      <c r="R35" s="413"/>
      <c r="S35" s="413"/>
      <c r="T35" s="413"/>
      <c r="U35" s="413"/>
      <c r="AA35" s="689"/>
      <c r="AB35" s="690"/>
      <c r="AC35" s="690"/>
      <c r="AG35" s="689"/>
      <c r="AH35" s="690"/>
      <c r="AI35" s="690"/>
      <c r="AJ35" s="690"/>
      <c r="AK35" s="690"/>
      <c r="AL35" s="690"/>
      <c r="AM35" s="690"/>
      <c r="AN35" s="691"/>
    </row>
    <row r="36" spans="2:40" x14ac:dyDescent="0.25">
      <c r="O36" s="413"/>
      <c r="P36" s="413"/>
      <c r="Q36" s="413"/>
      <c r="R36" s="136" t="s">
        <v>135</v>
      </c>
      <c r="S36" s="413"/>
      <c r="T36" s="413"/>
      <c r="U36" s="413"/>
      <c r="AG36" s="61" t="s">
        <v>291</v>
      </c>
    </row>
    <row r="37" spans="2:40" x14ac:dyDescent="0.25">
      <c r="O37" s="413"/>
      <c r="P37" s="413"/>
      <c r="Q37" s="413"/>
      <c r="R37" s="136" t="s">
        <v>136</v>
      </c>
      <c r="S37" s="413"/>
      <c r="T37" s="413"/>
      <c r="U37" s="413"/>
      <c r="V37" s="413"/>
      <c r="W37" s="413"/>
      <c r="X37" s="413"/>
    </row>
    <row r="38" spans="2:40" x14ac:dyDescent="0.25">
      <c r="O38" s="413"/>
      <c r="P38" s="413"/>
      <c r="Q38" s="413"/>
      <c r="R38" s="136"/>
      <c r="S38" s="413"/>
      <c r="T38" s="413"/>
      <c r="U38" s="413"/>
      <c r="V38" s="413"/>
      <c r="W38" s="413"/>
      <c r="X38" s="413"/>
    </row>
    <row r="39" spans="2:40" x14ac:dyDescent="0.25">
      <c r="O39" s="413"/>
      <c r="P39" s="413"/>
      <c r="Q39" s="413"/>
      <c r="R39" s="136" t="s">
        <v>148</v>
      </c>
      <c r="S39" s="413"/>
      <c r="T39" s="413"/>
      <c r="U39" s="413"/>
      <c r="V39" s="413"/>
      <c r="W39" s="413"/>
      <c r="X39" s="413"/>
    </row>
    <row r="40" spans="2:40" x14ac:dyDescent="0.25">
      <c r="O40" s="413"/>
      <c r="P40" s="413"/>
      <c r="Q40" s="413"/>
      <c r="R40" s="136" t="s">
        <v>149</v>
      </c>
      <c r="S40" s="413"/>
      <c r="T40" s="413"/>
      <c r="U40" s="413"/>
      <c r="V40" s="413"/>
      <c r="W40" s="413"/>
      <c r="X40" s="413"/>
    </row>
    <row r="41" spans="2:40" x14ac:dyDescent="0.25">
      <c r="O41" s="413"/>
      <c r="P41" s="413"/>
      <c r="Q41" s="413"/>
      <c r="R41" s="136" t="s">
        <v>150</v>
      </c>
      <c r="S41" s="413"/>
      <c r="T41" s="413"/>
      <c r="U41" s="413"/>
      <c r="V41" s="413"/>
      <c r="W41" s="413"/>
      <c r="X41" s="413"/>
      <c r="Y41" s="413"/>
      <c r="Z41" s="413"/>
      <c r="AA41" s="413"/>
      <c r="AB41" s="413"/>
      <c r="AC41" s="413"/>
      <c r="AD41" s="413"/>
      <c r="AE41" s="413"/>
      <c r="AF41" s="413"/>
      <c r="AG41" s="413"/>
    </row>
    <row r="42" spans="2:40" x14ac:dyDescent="0.25">
      <c r="O42" s="413"/>
      <c r="P42" s="413"/>
      <c r="Q42" s="413"/>
      <c r="R42" s="136" t="s">
        <v>151</v>
      </c>
      <c r="S42" s="413"/>
      <c r="T42" s="413"/>
      <c r="U42" s="413"/>
      <c r="V42" s="413"/>
      <c r="W42" s="413"/>
      <c r="X42" s="413"/>
      <c r="Y42" s="413"/>
      <c r="Z42" s="413"/>
      <c r="AA42" s="413"/>
      <c r="AB42" s="413"/>
      <c r="AC42" s="413"/>
      <c r="AD42" s="413"/>
      <c r="AE42" s="413"/>
      <c r="AF42" s="413"/>
      <c r="AG42" s="413"/>
    </row>
    <row r="43" spans="2:40" x14ac:dyDescent="0.25">
      <c r="O43" s="413"/>
      <c r="P43" s="413"/>
      <c r="Q43" s="413"/>
      <c r="R43" s="136" t="s">
        <v>152</v>
      </c>
      <c r="S43" s="413"/>
      <c r="T43" s="413"/>
      <c r="U43" s="413"/>
      <c r="V43" s="413"/>
      <c r="W43" s="413"/>
      <c r="X43" s="413"/>
      <c r="Y43" s="413"/>
      <c r="Z43" s="413"/>
      <c r="AA43" s="413"/>
      <c r="AB43" s="413"/>
      <c r="AC43" s="413"/>
      <c r="AD43" s="413"/>
      <c r="AE43" s="413"/>
      <c r="AF43" s="413"/>
      <c r="AG43" s="413"/>
    </row>
    <row r="44" spans="2:40" x14ac:dyDescent="0.25">
      <c r="O44" s="413"/>
      <c r="P44" s="413"/>
      <c r="Q44" s="413"/>
      <c r="R44" s="136"/>
      <c r="S44" s="413"/>
      <c r="T44" s="413"/>
      <c r="U44" s="413"/>
      <c r="V44" s="413"/>
      <c r="W44" s="413"/>
      <c r="X44" s="413"/>
      <c r="Y44" s="413"/>
      <c r="Z44" s="413"/>
      <c r="AA44" s="413"/>
      <c r="AB44" s="413"/>
      <c r="AC44" s="413"/>
      <c r="AD44" s="413"/>
      <c r="AE44" s="413"/>
      <c r="AF44" s="413"/>
      <c r="AG44" s="413"/>
    </row>
    <row r="45" spans="2:40" x14ac:dyDescent="0.25">
      <c r="O45" s="413"/>
      <c r="P45" s="413"/>
      <c r="Q45" s="413"/>
      <c r="R45" s="136" t="s">
        <v>137</v>
      </c>
      <c r="S45" s="413"/>
      <c r="T45" s="413"/>
      <c r="U45" s="413"/>
      <c r="V45" s="413"/>
      <c r="W45" s="413"/>
      <c r="X45" s="413"/>
      <c r="Y45" s="413"/>
      <c r="Z45" s="413"/>
      <c r="AA45" s="413"/>
      <c r="AB45" s="413"/>
      <c r="AC45" s="413"/>
      <c r="AD45" s="413"/>
      <c r="AE45" s="413"/>
      <c r="AF45" s="413"/>
      <c r="AG45" s="413"/>
    </row>
    <row r="46" spans="2:40" x14ac:dyDescent="0.25">
      <c r="O46" s="413"/>
      <c r="P46" s="413"/>
      <c r="Q46" s="413"/>
      <c r="R46" s="136" t="s">
        <v>138</v>
      </c>
      <c r="S46" s="413"/>
      <c r="T46" s="413"/>
      <c r="U46" s="413"/>
      <c r="V46" s="413"/>
      <c r="W46" s="413"/>
      <c r="X46" s="413"/>
      <c r="Y46" s="413"/>
      <c r="Z46" s="413"/>
      <c r="AA46" s="413"/>
      <c r="AB46" s="413"/>
      <c r="AC46" s="413"/>
      <c r="AD46" s="413"/>
      <c r="AE46" s="413"/>
      <c r="AF46" s="413"/>
      <c r="AG46" s="413"/>
    </row>
    <row r="47" spans="2:40" x14ac:dyDescent="0.25">
      <c r="O47" s="413"/>
      <c r="P47" s="413"/>
      <c r="Q47" s="413"/>
      <c r="R47" s="136" t="s">
        <v>139</v>
      </c>
      <c r="S47" s="413"/>
      <c r="T47" s="413"/>
      <c r="U47" s="413"/>
      <c r="V47" s="413"/>
      <c r="W47" s="413"/>
      <c r="X47" s="413"/>
      <c r="Y47" s="413"/>
      <c r="Z47" s="413"/>
      <c r="AA47" s="413"/>
      <c r="AB47" s="413"/>
      <c r="AC47" s="413"/>
      <c r="AD47" s="413"/>
      <c r="AE47" s="413"/>
      <c r="AF47" s="413"/>
      <c r="AG47" s="413"/>
    </row>
    <row r="48" spans="2:40" x14ac:dyDescent="0.25">
      <c r="O48" s="413"/>
      <c r="P48" s="413"/>
      <c r="Q48" s="413"/>
      <c r="R48" s="136"/>
      <c r="S48" s="413"/>
      <c r="T48" s="413"/>
      <c r="U48" s="413"/>
      <c r="V48" s="413"/>
      <c r="W48" s="413"/>
      <c r="X48" s="413"/>
      <c r="Y48" s="413"/>
      <c r="Z48" s="413"/>
      <c r="AA48" s="413"/>
      <c r="AB48" s="413"/>
      <c r="AC48" s="413"/>
      <c r="AD48" s="413"/>
      <c r="AE48" s="413"/>
      <c r="AF48" s="413"/>
      <c r="AG48" s="413"/>
    </row>
    <row r="49" spans="3:33" x14ac:dyDescent="0.25">
      <c r="O49" s="413"/>
      <c r="P49" s="413"/>
      <c r="Q49" s="413"/>
      <c r="R49" s="136" t="s">
        <v>159</v>
      </c>
      <c r="S49" s="413"/>
      <c r="T49" s="413"/>
      <c r="U49" s="413"/>
      <c r="V49" s="413"/>
      <c r="W49" s="413"/>
      <c r="X49" s="413"/>
      <c r="Y49" s="413"/>
      <c r="Z49" s="413"/>
      <c r="AA49" s="413"/>
      <c r="AB49" s="413"/>
      <c r="AC49" s="413"/>
      <c r="AD49" s="413"/>
      <c r="AE49" s="413"/>
      <c r="AF49" s="413"/>
      <c r="AG49" s="413"/>
    </row>
    <row r="50" spans="3:33" x14ac:dyDescent="0.25">
      <c r="O50" s="413"/>
      <c r="P50" s="413"/>
      <c r="Q50" s="413"/>
      <c r="R50" s="136" t="s">
        <v>141</v>
      </c>
      <c r="S50" s="413"/>
      <c r="T50" s="413"/>
      <c r="U50" s="413"/>
      <c r="V50" s="413"/>
      <c r="W50" s="413"/>
      <c r="X50" s="413"/>
      <c r="Y50" s="413"/>
      <c r="Z50" s="413"/>
      <c r="AA50" s="413"/>
      <c r="AB50" s="413"/>
      <c r="AC50" s="413"/>
      <c r="AD50" s="413"/>
      <c r="AE50" s="413"/>
      <c r="AF50" s="413"/>
      <c r="AG50" s="413"/>
    </row>
    <row r="51" spans="3:33" x14ac:dyDescent="0.25">
      <c r="C51" s="136"/>
      <c r="D51" s="136"/>
      <c r="E51" s="136"/>
      <c r="F51" s="136"/>
      <c r="G51" s="136"/>
      <c r="H51" s="136"/>
      <c r="I51" s="136"/>
      <c r="J51" s="136"/>
      <c r="O51" s="413"/>
      <c r="P51" s="413"/>
      <c r="Q51" s="413"/>
      <c r="R51" s="136" t="s">
        <v>142</v>
      </c>
      <c r="S51" s="413"/>
      <c r="T51" s="413"/>
      <c r="U51" s="413"/>
      <c r="V51" s="413"/>
      <c r="W51" s="413"/>
      <c r="X51" s="413"/>
      <c r="Y51" s="413"/>
      <c r="Z51" s="413"/>
      <c r="AA51" s="413"/>
      <c r="AB51" s="413"/>
      <c r="AC51" s="413"/>
      <c r="AD51" s="413"/>
      <c r="AE51" s="413"/>
      <c r="AF51" s="413"/>
      <c r="AG51" s="413"/>
    </row>
    <row r="52" spans="3:33" x14ac:dyDescent="0.25">
      <c r="C52" s="136"/>
      <c r="D52" s="136"/>
      <c r="E52" s="136"/>
      <c r="F52" s="136"/>
      <c r="G52" s="136"/>
      <c r="H52" s="136"/>
      <c r="I52" s="136"/>
      <c r="J52" s="136"/>
      <c r="O52" s="413"/>
      <c r="P52" s="413"/>
      <c r="Q52" s="413"/>
      <c r="R52" s="136" t="s">
        <v>160</v>
      </c>
      <c r="S52" s="413"/>
      <c r="T52" s="413"/>
      <c r="U52" s="413"/>
      <c r="V52" s="413"/>
      <c r="W52" s="413"/>
      <c r="X52" s="413"/>
      <c r="Y52" s="413"/>
      <c r="Z52" s="413"/>
      <c r="AA52" s="413"/>
      <c r="AB52" s="413"/>
      <c r="AC52" s="413"/>
      <c r="AD52" s="413"/>
      <c r="AE52" s="413"/>
      <c r="AF52" s="413"/>
      <c r="AG52" s="413"/>
    </row>
    <row r="53" spans="3:33" x14ac:dyDescent="0.25">
      <c r="C53" s="136"/>
      <c r="D53" s="136"/>
      <c r="E53" s="136"/>
      <c r="F53" s="136"/>
      <c r="G53" s="136"/>
      <c r="H53" s="136"/>
      <c r="I53" s="136"/>
      <c r="J53" s="136"/>
      <c r="O53" s="413"/>
      <c r="P53" s="413"/>
      <c r="Q53" s="413"/>
      <c r="R53" s="136" t="s">
        <v>143</v>
      </c>
      <c r="S53" s="413"/>
      <c r="T53" s="413"/>
      <c r="U53" s="413"/>
      <c r="V53" s="413"/>
      <c r="W53" s="413"/>
      <c r="X53" s="413"/>
      <c r="Y53" s="413"/>
      <c r="Z53" s="413"/>
      <c r="AA53" s="413"/>
      <c r="AB53" s="413"/>
      <c r="AC53" s="413"/>
      <c r="AD53" s="413"/>
      <c r="AE53" s="413"/>
      <c r="AF53" s="413"/>
      <c r="AG53" s="413"/>
    </row>
    <row r="54" spans="3:33" x14ac:dyDescent="0.25">
      <c r="C54" s="136"/>
      <c r="D54" s="136"/>
      <c r="E54" s="136"/>
      <c r="F54" s="136"/>
      <c r="G54" s="136"/>
      <c r="H54" s="136"/>
      <c r="I54" s="136"/>
      <c r="J54" s="136"/>
      <c r="O54" s="413"/>
      <c r="P54" s="413"/>
      <c r="Q54" s="413"/>
      <c r="R54" s="136" t="s">
        <v>144</v>
      </c>
      <c r="S54" s="413"/>
      <c r="T54" s="413"/>
      <c r="U54" s="413"/>
      <c r="V54" s="413"/>
      <c r="W54" s="413"/>
      <c r="X54" s="413"/>
      <c r="Y54" s="413"/>
      <c r="Z54" s="413"/>
      <c r="AA54" s="413"/>
      <c r="AB54" s="413"/>
      <c r="AC54" s="413"/>
      <c r="AD54" s="413"/>
      <c r="AE54" s="413"/>
      <c r="AF54" s="413"/>
      <c r="AG54" s="413"/>
    </row>
    <row r="55" spans="3:33" x14ac:dyDescent="0.25">
      <c r="C55" s="136"/>
      <c r="D55" s="136"/>
      <c r="E55" s="136"/>
      <c r="F55" s="136"/>
      <c r="G55" s="136"/>
      <c r="H55" s="136"/>
      <c r="I55" s="136"/>
      <c r="J55" s="136"/>
      <c r="O55" s="413"/>
      <c r="P55" s="413"/>
      <c r="Q55" s="413"/>
      <c r="R55" s="136"/>
      <c r="S55" s="413"/>
      <c r="T55" s="413"/>
      <c r="U55" s="413"/>
      <c r="V55" s="413"/>
      <c r="W55" s="413"/>
      <c r="X55" s="413"/>
      <c r="Y55" s="413"/>
      <c r="Z55" s="413"/>
      <c r="AA55" s="413"/>
      <c r="AB55" s="413"/>
      <c r="AC55" s="413"/>
      <c r="AD55" s="413"/>
      <c r="AE55" s="413"/>
      <c r="AF55" s="413"/>
      <c r="AG55" s="413"/>
    </row>
    <row r="56" spans="3:33" ht="22.5" x14ac:dyDescent="0.25">
      <c r="C56" s="136"/>
      <c r="D56" s="136">
        <f>IF(H12="Urban Interstate/Expressway",Lookup!S23,IF(H12="Urban Arterial",Lookup!T23,IF(H12="Urban Other",Lookup!U13,IF(H14="Rural Interstate/Principal Arterial",Lookup!V13,IF(H14="Rural Other",Lookup!W13,0)))))</f>
        <v>0</v>
      </c>
      <c r="E56" s="136"/>
      <c r="F56" s="136"/>
      <c r="G56" s="136"/>
      <c r="H56" s="136"/>
      <c r="I56" s="136"/>
      <c r="J56" s="136"/>
      <c r="K56" s="190" t="s">
        <v>322</v>
      </c>
      <c r="L56" s="190" t="s">
        <v>323</v>
      </c>
      <c r="M56" s="527"/>
      <c r="O56" s="413"/>
      <c r="P56" s="413"/>
      <c r="Q56" s="413"/>
      <c r="R56" s="136" t="s">
        <v>140</v>
      </c>
      <c r="S56" s="413"/>
      <c r="T56" s="413"/>
      <c r="U56" s="413"/>
      <c r="V56" s="413"/>
      <c r="W56" s="413"/>
      <c r="X56" s="413"/>
      <c r="Y56" s="413"/>
      <c r="Z56" s="413"/>
      <c r="AA56" s="413"/>
      <c r="AB56" s="413"/>
      <c r="AC56" s="413"/>
      <c r="AD56" s="413"/>
      <c r="AE56" s="413"/>
      <c r="AF56" s="413"/>
      <c r="AG56" s="413"/>
    </row>
    <row r="57" spans="3:33" x14ac:dyDescent="0.25">
      <c r="C57" s="136"/>
      <c r="D57" s="136"/>
      <c r="E57" s="136"/>
      <c r="F57" s="136"/>
      <c r="G57" s="136"/>
      <c r="H57" s="136"/>
      <c r="I57" s="136"/>
      <c r="J57" s="136"/>
      <c r="K57" s="530">
        <v>23.37</v>
      </c>
      <c r="L57" s="527">
        <f>K57*$D$6</f>
        <v>26.006136000000001</v>
      </c>
      <c r="O57" s="413"/>
      <c r="P57" s="413"/>
      <c r="Q57" s="413"/>
      <c r="R57" s="136" t="s">
        <v>145</v>
      </c>
      <c r="S57" s="413"/>
      <c r="T57" s="413"/>
      <c r="U57" s="413"/>
      <c r="V57" s="413"/>
      <c r="W57" s="413"/>
      <c r="X57" s="413"/>
      <c r="Y57" s="413"/>
      <c r="Z57" s="413"/>
      <c r="AA57" s="413"/>
      <c r="AB57" s="413"/>
      <c r="AC57" s="413"/>
      <c r="AD57" s="413"/>
      <c r="AE57" s="413"/>
      <c r="AF57" s="413"/>
      <c r="AG57" s="413"/>
    </row>
    <row r="58" spans="3:33" x14ac:dyDescent="0.25">
      <c r="C58" s="136"/>
      <c r="D58" s="136"/>
      <c r="E58" s="136"/>
      <c r="F58" s="136"/>
      <c r="G58" s="136"/>
      <c r="H58" s="136"/>
      <c r="I58" s="136"/>
      <c r="J58" s="136"/>
      <c r="K58" s="530">
        <v>23.42</v>
      </c>
      <c r="L58" s="527">
        <f t="shared" ref="L58:L61" si="2">K58*$D$6</f>
        <v>26.061776000000002</v>
      </c>
      <c r="O58" s="413"/>
      <c r="P58" s="413"/>
      <c r="Q58" s="413"/>
      <c r="R58" s="136" t="s">
        <v>142</v>
      </c>
      <c r="S58" s="413"/>
      <c r="T58" s="413"/>
      <c r="U58" s="413"/>
      <c r="V58" s="413"/>
      <c r="W58" s="413"/>
      <c r="X58" s="413"/>
      <c r="Y58" s="413"/>
      <c r="Z58" s="413"/>
      <c r="AA58" s="413"/>
      <c r="AB58" s="413"/>
      <c r="AC58" s="413"/>
      <c r="AD58" s="413"/>
      <c r="AE58" s="413"/>
      <c r="AF58" s="413"/>
      <c r="AG58" s="413"/>
    </row>
    <row r="59" spans="3:33" x14ac:dyDescent="0.25">
      <c r="C59" s="136"/>
      <c r="D59" s="136" t="b">
        <f>IF(H12="Urban Interstate/Expressway",Lookup!AB9,IF(H12="Urban Arterial",Lookup!AB10,IF(H12="Urban Other",IF(H12="Rural Interstate/Principal Arterial",Lookup!V15,IF(H12="Rural Other",Lookup!W15,0)))))</f>
        <v>0</v>
      </c>
      <c r="E59" s="136"/>
      <c r="F59" s="136"/>
      <c r="G59" s="136"/>
      <c r="H59" s="136"/>
      <c r="I59" s="136"/>
      <c r="J59" s="136"/>
      <c r="K59" s="530">
        <v>23.54</v>
      </c>
      <c r="L59" s="527">
        <f t="shared" si="2"/>
        <v>26.195311999999998</v>
      </c>
      <c r="O59" s="413"/>
      <c r="P59" s="413"/>
      <c r="Q59" s="413"/>
      <c r="R59" s="136" t="s">
        <v>146</v>
      </c>
      <c r="S59" s="413"/>
      <c r="T59" s="413"/>
      <c r="U59" s="413"/>
      <c r="V59" s="413"/>
      <c r="W59" s="413"/>
      <c r="X59" s="413"/>
      <c r="Y59" s="413"/>
      <c r="Z59" s="413"/>
      <c r="AA59" s="413"/>
      <c r="AB59" s="413"/>
      <c r="AC59" s="413"/>
      <c r="AD59" s="413"/>
      <c r="AE59" s="413"/>
      <c r="AF59" s="413"/>
      <c r="AG59" s="413"/>
    </row>
    <row r="60" spans="3:33" x14ac:dyDescent="0.25">
      <c r="C60" s="136"/>
      <c r="D60" s="136"/>
      <c r="E60" s="136"/>
      <c r="F60" s="136"/>
      <c r="G60" s="136"/>
      <c r="H60" s="136"/>
      <c r="I60" s="136"/>
      <c r="J60" s="136"/>
      <c r="K60" s="530">
        <v>23.59</v>
      </c>
      <c r="L60" s="527">
        <f t="shared" si="2"/>
        <v>26.250952000000002</v>
      </c>
      <c r="O60" s="413"/>
      <c r="P60" s="413"/>
      <c r="Q60" s="413"/>
      <c r="R60" s="136" t="s">
        <v>146</v>
      </c>
      <c r="S60" s="413"/>
      <c r="T60" s="413"/>
      <c r="U60" s="413"/>
      <c r="V60" s="413"/>
      <c r="W60" s="413"/>
      <c r="X60" s="413"/>
      <c r="Y60" s="413"/>
      <c r="Z60" s="413"/>
      <c r="AA60" s="413"/>
      <c r="AB60" s="413"/>
      <c r="AC60" s="413"/>
      <c r="AD60" s="413"/>
      <c r="AE60" s="413"/>
      <c r="AF60" s="413"/>
      <c r="AG60" s="413"/>
    </row>
    <row r="61" spans="3:33" x14ac:dyDescent="0.25">
      <c r="C61" s="136"/>
      <c r="D61" s="136"/>
      <c r="E61" s="136"/>
      <c r="F61" s="136"/>
      <c r="G61" s="136"/>
      <c r="H61" s="136"/>
      <c r="I61" s="136"/>
      <c r="J61" s="136"/>
      <c r="K61" s="530">
        <v>23.89</v>
      </c>
      <c r="L61" s="527">
        <f t="shared" si="2"/>
        <v>26.584792</v>
      </c>
      <c r="O61" s="413"/>
      <c r="P61" s="413"/>
      <c r="Q61" s="413"/>
      <c r="R61" s="136" t="s">
        <v>153</v>
      </c>
      <c r="S61" s="413"/>
      <c r="T61" s="413"/>
      <c r="U61" s="413"/>
      <c r="V61" s="413"/>
      <c r="W61" s="413"/>
      <c r="X61" s="413"/>
    </row>
    <row r="62" spans="3:33" x14ac:dyDescent="0.25">
      <c r="O62" s="413"/>
      <c r="P62" s="413"/>
      <c r="Q62" s="413"/>
      <c r="R62" s="136" t="s">
        <v>154</v>
      </c>
      <c r="S62" s="413"/>
      <c r="T62" s="413"/>
      <c r="U62" s="413"/>
      <c r="V62" s="413"/>
      <c r="W62" s="413"/>
      <c r="X62" s="413"/>
    </row>
    <row r="63" spans="3:33" x14ac:dyDescent="0.25">
      <c r="O63" s="413"/>
      <c r="P63" s="413"/>
      <c r="Q63" s="413"/>
      <c r="R63" s="136" t="s">
        <v>155</v>
      </c>
      <c r="S63" s="413"/>
      <c r="T63" s="413"/>
      <c r="U63" s="413"/>
      <c r="V63" s="413"/>
      <c r="W63" s="413"/>
      <c r="X63" s="413"/>
    </row>
    <row r="64" spans="3:33" x14ac:dyDescent="0.25">
      <c r="O64" s="413"/>
      <c r="P64" s="413"/>
      <c r="Q64" s="413"/>
      <c r="R64" s="136" t="s">
        <v>156</v>
      </c>
      <c r="S64" s="413"/>
      <c r="T64" s="413"/>
      <c r="U64" s="413"/>
      <c r="V64" s="413"/>
      <c r="W64" s="413"/>
      <c r="X64" s="413"/>
    </row>
    <row r="65" spans="15:21" x14ac:dyDescent="0.25">
      <c r="O65" s="413"/>
      <c r="P65" s="413"/>
      <c r="Q65" s="413"/>
      <c r="R65" s="136"/>
      <c r="S65" s="413"/>
      <c r="T65" s="413"/>
      <c r="U65" s="413"/>
    </row>
    <row r="66" spans="15:21" x14ac:dyDescent="0.25">
      <c r="O66" s="413"/>
      <c r="P66" s="413"/>
      <c r="Q66" s="413"/>
      <c r="R66" s="136"/>
      <c r="S66" s="413"/>
      <c r="T66" s="413"/>
      <c r="U66" s="413"/>
    </row>
    <row r="67" spans="15:21" x14ac:dyDescent="0.25">
      <c r="O67" s="413"/>
      <c r="P67" s="413"/>
      <c r="Q67" s="413"/>
      <c r="R67" s="413"/>
      <c r="S67" s="413"/>
      <c r="T67" s="413"/>
      <c r="U67" s="413"/>
    </row>
    <row r="68" spans="15:21" x14ac:dyDescent="0.25">
      <c r="O68" s="413"/>
      <c r="P68" s="413"/>
      <c r="Q68" s="413"/>
      <c r="R68" s="413"/>
      <c r="S68" s="413"/>
      <c r="T68" s="413"/>
      <c r="U68" s="413"/>
    </row>
  </sheetData>
  <sheetProtection algorithmName="SHA-512" hashValue="f2B8LzNHkc2+TVezVEhe/PAItf+rIq6BYpFGuFfFT3Cyrj7O6LdXyATnlBUg+R13byzyKpJw4KWvSEVaaP6B5w==" saltValue="+7I9a0gDe3QvvEcZv/cBAw==" spinCount="100000" sheet="1" objects="1" scenarios="1"/>
  <mergeCells count="17">
    <mergeCell ref="S7:S9"/>
    <mergeCell ref="B5:H5"/>
    <mergeCell ref="K5:N5"/>
    <mergeCell ref="AG5:AN5"/>
    <mergeCell ref="AA7:AC7"/>
    <mergeCell ref="AA5:AC5"/>
    <mergeCell ref="T7:T9"/>
    <mergeCell ref="U7:U9"/>
    <mergeCell ref="V7:V9"/>
    <mergeCell ref="W7:W9"/>
    <mergeCell ref="R5:W5"/>
    <mergeCell ref="AG34:AN35"/>
    <mergeCell ref="R29:W30"/>
    <mergeCell ref="AA34:AC35"/>
    <mergeCell ref="R10:W10"/>
    <mergeCell ref="B15:H17"/>
    <mergeCell ref="B30:H34"/>
  </mergeCells>
  <pageMargins left="0.7" right="0.7" top="0.75" bottom="0.75" header="0.3" footer="0.3"/>
  <pageSetup scale="80" fitToWidth="4" orientation="landscape"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4" tint="0.79998168889431442"/>
    <pageSetUpPr fitToPage="1"/>
  </sheetPr>
  <dimension ref="A1:AF79"/>
  <sheetViews>
    <sheetView zoomScale="40" zoomScaleNormal="40" zoomScaleSheetLayoutView="20" workbookViewId="0"/>
  </sheetViews>
  <sheetFormatPr defaultRowHeight="15" x14ac:dyDescent="0.25"/>
  <cols>
    <col min="1" max="1" width="5.5703125" style="231" customWidth="1"/>
    <col min="2" max="10" width="25.7109375" style="231" customWidth="1"/>
    <col min="11" max="12" width="5.5703125" style="231" customWidth="1"/>
    <col min="13" max="13" width="7.5703125" style="231" customWidth="1"/>
    <col min="14" max="14" width="31" style="231" customWidth="1"/>
    <col min="15" max="15" width="24.28515625" style="231" customWidth="1"/>
    <col min="16" max="26" width="14.5703125" style="231" customWidth="1"/>
    <col min="27" max="27" width="17.5703125" style="231" customWidth="1"/>
    <col min="28" max="28" width="16.85546875" style="231" customWidth="1"/>
    <col min="29" max="29" width="17.5703125" style="231" customWidth="1"/>
    <col min="30" max="30" width="17.7109375" style="231" customWidth="1"/>
    <col min="31" max="31" width="9.140625" style="231"/>
    <col min="32" max="32" width="16.5703125" style="231" customWidth="1"/>
    <col min="33" max="33" width="17.5703125" style="231" customWidth="1"/>
    <col min="34" max="34" width="5.5703125" style="231" customWidth="1"/>
    <col min="35" max="250" width="9.140625" style="231"/>
    <col min="251" max="251" width="5.5703125" style="231" customWidth="1"/>
    <col min="252" max="252" width="7.5703125" style="231" customWidth="1"/>
    <col min="253" max="256" width="14.5703125" style="231" customWidth="1"/>
    <col min="257" max="264" width="14.42578125" style="231" customWidth="1"/>
    <col min="265" max="265" width="17.5703125" style="231" customWidth="1"/>
    <col min="266" max="266" width="16.85546875" style="231" customWidth="1"/>
    <col min="267" max="267" width="17.5703125" style="231" customWidth="1"/>
    <col min="268" max="269" width="5.5703125" style="231" customWidth="1"/>
    <col min="270" max="270" width="7.5703125" style="231" customWidth="1"/>
    <col min="271" max="282" width="14.5703125" style="231" customWidth="1"/>
    <col min="283" max="283" width="17.5703125" style="231" customWidth="1"/>
    <col min="284" max="284" width="16.85546875" style="231" customWidth="1"/>
    <col min="285" max="285" width="17.5703125" style="231" customWidth="1"/>
    <col min="286" max="286" width="17.7109375" style="231" customWidth="1"/>
    <col min="287" max="287" width="9.140625" style="231"/>
    <col min="288" max="288" width="16.5703125" style="231" customWidth="1"/>
    <col min="289" max="289" width="17.5703125" style="231" customWidth="1"/>
    <col min="290" max="290" width="5.5703125" style="231" customWidth="1"/>
    <col min="291" max="506" width="9.140625" style="231"/>
    <col min="507" max="507" width="5.5703125" style="231" customWidth="1"/>
    <col min="508" max="508" width="7.5703125" style="231" customWidth="1"/>
    <col min="509" max="512" width="14.5703125" style="231" customWidth="1"/>
    <col min="513" max="520" width="14.42578125" style="231" customWidth="1"/>
    <col min="521" max="521" width="17.5703125" style="231" customWidth="1"/>
    <col min="522" max="522" width="16.85546875" style="231" customWidth="1"/>
    <col min="523" max="523" width="17.5703125" style="231" customWidth="1"/>
    <col min="524" max="525" width="5.5703125" style="231" customWidth="1"/>
    <col min="526" max="526" width="7.5703125" style="231" customWidth="1"/>
    <col min="527" max="538" width="14.5703125" style="231" customWidth="1"/>
    <col min="539" max="539" width="17.5703125" style="231" customWidth="1"/>
    <col min="540" max="540" width="16.85546875" style="231" customWidth="1"/>
    <col min="541" max="541" width="17.5703125" style="231" customWidth="1"/>
    <col min="542" max="542" width="17.7109375" style="231" customWidth="1"/>
    <col min="543" max="543" width="9.140625" style="231"/>
    <col min="544" max="544" width="16.5703125" style="231" customWidth="1"/>
    <col min="545" max="545" width="17.5703125" style="231" customWidth="1"/>
    <col min="546" max="546" width="5.5703125" style="231" customWidth="1"/>
    <col min="547" max="762" width="9.140625" style="231"/>
    <col min="763" max="763" width="5.5703125" style="231" customWidth="1"/>
    <col min="764" max="764" width="7.5703125" style="231" customWidth="1"/>
    <col min="765" max="768" width="14.5703125" style="231" customWidth="1"/>
    <col min="769" max="776" width="14.42578125" style="231" customWidth="1"/>
    <col min="777" max="777" width="17.5703125" style="231" customWidth="1"/>
    <col min="778" max="778" width="16.85546875" style="231" customWidth="1"/>
    <col min="779" max="779" width="17.5703125" style="231" customWidth="1"/>
    <col min="780" max="781" width="5.5703125" style="231" customWidth="1"/>
    <col min="782" max="782" width="7.5703125" style="231" customWidth="1"/>
    <col min="783" max="794" width="14.5703125" style="231" customWidth="1"/>
    <col min="795" max="795" width="17.5703125" style="231" customWidth="1"/>
    <col min="796" max="796" width="16.85546875" style="231" customWidth="1"/>
    <col min="797" max="797" width="17.5703125" style="231" customWidth="1"/>
    <col min="798" max="798" width="17.7109375" style="231" customWidth="1"/>
    <col min="799" max="799" width="9.140625" style="231"/>
    <col min="800" max="800" width="16.5703125" style="231" customWidth="1"/>
    <col min="801" max="801" width="17.5703125" style="231" customWidth="1"/>
    <col min="802" max="802" width="5.5703125" style="231" customWidth="1"/>
    <col min="803" max="1018" width="9.140625" style="231"/>
    <col min="1019" max="1019" width="5.5703125" style="231" customWidth="1"/>
    <col min="1020" max="1020" width="7.5703125" style="231" customWidth="1"/>
    <col min="1021" max="1024" width="14.5703125" style="231" customWidth="1"/>
    <col min="1025" max="1032" width="14.42578125" style="231" customWidth="1"/>
    <col min="1033" max="1033" width="17.5703125" style="231" customWidth="1"/>
    <col min="1034" max="1034" width="16.85546875" style="231" customWidth="1"/>
    <col min="1035" max="1035" width="17.5703125" style="231" customWidth="1"/>
    <col min="1036" max="1037" width="5.5703125" style="231" customWidth="1"/>
    <col min="1038" max="1038" width="7.5703125" style="231" customWidth="1"/>
    <col min="1039" max="1050" width="14.5703125" style="231" customWidth="1"/>
    <col min="1051" max="1051" width="17.5703125" style="231" customWidth="1"/>
    <col min="1052" max="1052" width="16.85546875" style="231" customWidth="1"/>
    <col min="1053" max="1053" width="17.5703125" style="231" customWidth="1"/>
    <col min="1054" max="1054" width="17.7109375" style="231" customWidth="1"/>
    <col min="1055" max="1055" width="9.140625" style="231"/>
    <col min="1056" max="1056" width="16.5703125" style="231" customWidth="1"/>
    <col min="1057" max="1057" width="17.5703125" style="231" customWidth="1"/>
    <col min="1058" max="1058" width="5.5703125" style="231" customWidth="1"/>
    <col min="1059" max="1274" width="9.140625" style="231"/>
    <col min="1275" max="1275" width="5.5703125" style="231" customWidth="1"/>
    <col min="1276" max="1276" width="7.5703125" style="231" customWidth="1"/>
    <col min="1277" max="1280" width="14.5703125" style="231" customWidth="1"/>
    <col min="1281" max="1288" width="14.42578125" style="231" customWidth="1"/>
    <col min="1289" max="1289" width="17.5703125" style="231" customWidth="1"/>
    <col min="1290" max="1290" width="16.85546875" style="231" customWidth="1"/>
    <col min="1291" max="1291" width="17.5703125" style="231" customWidth="1"/>
    <col min="1292" max="1293" width="5.5703125" style="231" customWidth="1"/>
    <col min="1294" max="1294" width="7.5703125" style="231" customWidth="1"/>
    <col min="1295" max="1306" width="14.5703125" style="231" customWidth="1"/>
    <col min="1307" max="1307" width="17.5703125" style="231" customWidth="1"/>
    <col min="1308" max="1308" width="16.85546875" style="231" customWidth="1"/>
    <col min="1309" max="1309" width="17.5703125" style="231" customWidth="1"/>
    <col min="1310" max="1310" width="17.7109375" style="231" customWidth="1"/>
    <col min="1311" max="1311" width="9.140625" style="231"/>
    <col min="1312" max="1312" width="16.5703125" style="231" customWidth="1"/>
    <col min="1313" max="1313" width="17.5703125" style="231" customWidth="1"/>
    <col min="1314" max="1314" width="5.5703125" style="231" customWidth="1"/>
    <col min="1315" max="1530" width="9.140625" style="231"/>
    <col min="1531" max="1531" width="5.5703125" style="231" customWidth="1"/>
    <col min="1532" max="1532" width="7.5703125" style="231" customWidth="1"/>
    <col min="1533" max="1536" width="14.5703125" style="231" customWidth="1"/>
    <col min="1537" max="1544" width="14.42578125" style="231" customWidth="1"/>
    <col min="1545" max="1545" width="17.5703125" style="231" customWidth="1"/>
    <col min="1546" max="1546" width="16.85546875" style="231" customWidth="1"/>
    <col min="1547" max="1547" width="17.5703125" style="231" customWidth="1"/>
    <col min="1548" max="1549" width="5.5703125" style="231" customWidth="1"/>
    <col min="1550" max="1550" width="7.5703125" style="231" customWidth="1"/>
    <col min="1551" max="1562" width="14.5703125" style="231" customWidth="1"/>
    <col min="1563" max="1563" width="17.5703125" style="231" customWidth="1"/>
    <col min="1564" max="1564" width="16.85546875" style="231" customWidth="1"/>
    <col min="1565" max="1565" width="17.5703125" style="231" customWidth="1"/>
    <col min="1566" max="1566" width="17.7109375" style="231" customWidth="1"/>
    <col min="1567" max="1567" width="9.140625" style="231"/>
    <col min="1568" max="1568" width="16.5703125" style="231" customWidth="1"/>
    <col min="1569" max="1569" width="17.5703125" style="231" customWidth="1"/>
    <col min="1570" max="1570" width="5.5703125" style="231" customWidth="1"/>
    <col min="1571" max="1786" width="9.140625" style="231"/>
    <col min="1787" max="1787" width="5.5703125" style="231" customWidth="1"/>
    <col min="1788" max="1788" width="7.5703125" style="231" customWidth="1"/>
    <col min="1789" max="1792" width="14.5703125" style="231" customWidth="1"/>
    <col min="1793" max="1800" width="14.42578125" style="231" customWidth="1"/>
    <col min="1801" max="1801" width="17.5703125" style="231" customWidth="1"/>
    <col min="1802" max="1802" width="16.85546875" style="231" customWidth="1"/>
    <col min="1803" max="1803" width="17.5703125" style="231" customWidth="1"/>
    <col min="1804" max="1805" width="5.5703125" style="231" customWidth="1"/>
    <col min="1806" max="1806" width="7.5703125" style="231" customWidth="1"/>
    <col min="1807" max="1818" width="14.5703125" style="231" customWidth="1"/>
    <col min="1819" max="1819" width="17.5703125" style="231" customWidth="1"/>
    <col min="1820" max="1820" width="16.85546875" style="231" customWidth="1"/>
    <col min="1821" max="1821" width="17.5703125" style="231" customWidth="1"/>
    <col min="1822" max="1822" width="17.7109375" style="231" customWidth="1"/>
    <col min="1823" max="1823" width="9.140625" style="231"/>
    <col min="1824" max="1824" width="16.5703125" style="231" customWidth="1"/>
    <col min="1825" max="1825" width="17.5703125" style="231" customWidth="1"/>
    <col min="1826" max="1826" width="5.5703125" style="231" customWidth="1"/>
    <col min="1827" max="2042" width="9.140625" style="231"/>
    <col min="2043" max="2043" width="5.5703125" style="231" customWidth="1"/>
    <col min="2044" max="2044" width="7.5703125" style="231" customWidth="1"/>
    <col min="2045" max="2048" width="14.5703125" style="231" customWidth="1"/>
    <col min="2049" max="2056" width="14.42578125" style="231" customWidth="1"/>
    <col min="2057" max="2057" width="17.5703125" style="231" customWidth="1"/>
    <col min="2058" max="2058" width="16.85546875" style="231" customWidth="1"/>
    <col min="2059" max="2059" width="17.5703125" style="231" customWidth="1"/>
    <col min="2060" max="2061" width="5.5703125" style="231" customWidth="1"/>
    <col min="2062" max="2062" width="7.5703125" style="231" customWidth="1"/>
    <col min="2063" max="2074" width="14.5703125" style="231" customWidth="1"/>
    <col min="2075" max="2075" width="17.5703125" style="231" customWidth="1"/>
    <col min="2076" max="2076" width="16.85546875" style="231" customWidth="1"/>
    <col min="2077" max="2077" width="17.5703125" style="231" customWidth="1"/>
    <col min="2078" max="2078" width="17.7109375" style="231" customWidth="1"/>
    <col min="2079" max="2079" width="9.140625" style="231"/>
    <col min="2080" max="2080" width="16.5703125" style="231" customWidth="1"/>
    <col min="2081" max="2081" width="17.5703125" style="231" customWidth="1"/>
    <col min="2082" max="2082" width="5.5703125" style="231" customWidth="1"/>
    <col min="2083" max="2298" width="9.140625" style="231"/>
    <col min="2299" max="2299" width="5.5703125" style="231" customWidth="1"/>
    <col min="2300" max="2300" width="7.5703125" style="231" customWidth="1"/>
    <col min="2301" max="2304" width="14.5703125" style="231" customWidth="1"/>
    <col min="2305" max="2312" width="14.42578125" style="231" customWidth="1"/>
    <col min="2313" max="2313" width="17.5703125" style="231" customWidth="1"/>
    <col min="2314" max="2314" width="16.85546875" style="231" customWidth="1"/>
    <col min="2315" max="2315" width="17.5703125" style="231" customWidth="1"/>
    <col min="2316" max="2317" width="5.5703125" style="231" customWidth="1"/>
    <col min="2318" max="2318" width="7.5703125" style="231" customWidth="1"/>
    <col min="2319" max="2330" width="14.5703125" style="231" customWidth="1"/>
    <col min="2331" max="2331" width="17.5703125" style="231" customWidth="1"/>
    <col min="2332" max="2332" width="16.85546875" style="231" customWidth="1"/>
    <col min="2333" max="2333" width="17.5703125" style="231" customWidth="1"/>
    <col min="2334" max="2334" width="17.7109375" style="231" customWidth="1"/>
    <col min="2335" max="2335" width="9.140625" style="231"/>
    <col min="2336" max="2336" width="16.5703125" style="231" customWidth="1"/>
    <col min="2337" max="2337" width="17.5703125" style="231" customWidth="1"/>
    <col min="2338" max="2338" width="5.5703125" style="231" customWidth="1"/>
    <col min="2339" max="2554" width="9.140625" style="231"/>
    <col min="2555" max="2555" width="5.5703125" style="231" customWidth="1"/>
    <col min="2556" max="2556" width="7.5703125" style="231" customWidth="1"/>
    <col min="2557" max="2560" width="14.5703125" style="231" customWidth="1"/>
    <col min="2561" max="2568" width="14.42578125" style="231" customWidth="1"/>
    <col min="2569" max="2569" width="17.5703125" style="231" customWidth="1"/>
    <col min="2570" max="2570" width="16.85546875" style="231" customWidth="1"/>
    <col min="2571" max="2571" width="17.5703125" style="231" customWidth="1"/>
    <col min="2572" max="2573" width="5.5703125" style="231" customWidth="1"/>
    <col min="2574" max="2574" width="7.5703125" style="231" customWidth="1"/>
    <col min="2575" max="2586" width="14.5703125" style="231" customWidth="1"/>
    <col min="2587" max="2587" width="17.5703125" style="231" customWidth="1"/>
    <col min="2588" max="2588" width="16.85546875" style="231" customWidth="1"/>
    <col min="2589" max="2589" width="17.5703125" style="231" customWidth="1"/>
    <col min="2590" max="2590" width="17.7109375" style="231" customWidth="1"/>
    <col min="2591" max="2591" width="9.140625" style="231"/>
    <col min="2592" max="2592" width="16.5703125" style="231" customWidth="1"/>
    <col min="2593" max="2593" width="17.5703125" style="231" customWidth="1"/>
    <col min="2594" max="2594" width="5.5703125" style="231" customWidth="1"/>
    <col min="2595" max="2810" width="9.140625" style="231"/>
    <col min="2811" max="2811" width="5.5703125" style="231" customWidth="1"/>
    <col min="2812" max="2812" width="7.5703125" style="231" customWidth="1"/>
    <col min="2813" max="2816" width="14.5703125" style="231" customWidth="1"/>
    <col min="2817" max="2824" width="14.42578125" style="231" customWidth="1"/>
    <col min="2825" max="2825" width="17.5703125" style="231" customWidth="1"/>
    <col min="2826" max="2826" width="16.85546875" style="231" customWidth="1"/>
    <col min="2827" max="2827" width="17.5703125" style="231" customWidth="1"/>
    <col min="2828" max="2829" width="5.5703125" style="231" customWidth="1"/>
    <col min="2830" max="2830" width="7.5703125" style="231" customWidth="1"/>
    <col min="2831" max="2842" width="14.5703125" style="231" customWidth="1"/>
    <col min="2843" max="2843" width="17.5703125" style="231" customWidth="1"/>
    <col min="2844" max="2844" width="16.85546875" style="231" customWidth="1"/>
    <col min="2845" max="2845" width="17.5703125" style="231" customWidth="1"/>
    <col min="2846" max="2846" width="17.7109375" style="231" customWidth="1"/>
    <col min="2847" max="2847" width="9.140625" style="231"/>
    <col min="2848" max="2848" width="16.5703125" style="231" customWidth="1"/>
    <col min="2849" max="2849" width="17.5703125" style="231" customWidth="1"/>
    <col min="2850" max="2850" width="5.5703125" style="231" customWidth="1"/>
    <col min="2851" max="3066" width="9.140625" style="231"/>
    <col min="3067" max="3067" width="5.5703125" style="231" customWidth="1"/>
    <col min="3068" max="3068" width="7.5703125" style="231" customWidth="1"/>
    <col min="3069" max="3072" width="14.5703125" style="231" customWidth="1"/>
    <col min="3073" max="3080" width="14.42578125" style="231" customWidth="1"/>
    <col min="3081" max="3081" width="17.5703125" style="231" customWidth="1"/>
    <col min="3082" max="3082" width="16.85546875" style="231" customWidth="1"/>
    <col min="3083" max="3083" width="17.5703125" style="231" customWidth="1"/>
    <col min="3084" max="3085" width="5.5703125" style="231" customWidth="1"/>
    <col min="3086" max="3086" width="7.5703125" style="231" customWidth="1"/>
    <col min="3087" max="3098" width="14.5703125" style="231" customWidth="1"/>
    <col min="3099" max="3099" width="17.5703125" style="231" customWidth="1"/>
    <col min="3100" max="3100" width="16.85546875" style="231" customWidth="1"/>
    <col min="3101" max="3101" width="17.5703125" style="231" customWidth="1"/>
    <col min="3102" max="3102" width="17.7109375" style="231" customWidth="1"/>
    <col min="3103" max="3103" width="9.140625" style="231"/>
    <col min="3104" max="3104" width="16.5703125" style="231" customWidth="1"/>
    <col min="3105" max="3105" width="17.5703125" style="231" customWidth="1"/>
    <col min="3106" max="3106" width="5.5703125" style="231" customWidth="1"/>
    <col min="3107" max="3322" width="9.140625" style="231"/>
    <col min="3323" max="3323" width="5.5703125" style="231" customWidth="1"/>
    <col min="3324" max="3324" width="7.5703125" style="231" customWidth="1"/>
    <col min="3325" max="3328" width="14.5703125" style="231" customWidth="1"/>
    <col min="3329" max="3336" width="14.42578125" style="231" customWidth="1"/>
    <col min="3337" max="3337" width="17.5703125" style="231" customWidth="1"/>
    <col min="3338" max="3338" width="16.85546875" style="231" customWidth="1"/>
    <col min="3339" max="3339" width="17.5703125" style="231" customWidth="1"/>
    <col min="3340" max="3341" width="5.5703125" style="231" customWidth="1"/>
    <col min="3342" max="3342" width="7.5703125" style="231" customWidth="1"/>
    <col min="3343" max="3354" width="14.5703125" style="231" customWidth="1"/>
    <col min="3355" max="3355" width="17.5703125" style="231" customWidth="1"/>
    <col min="3356" max="3356" width="16.85546875" style="231" customWidth="1"/>
    <col min="3357" max="3357" width="17.5703125" style="231" customWidth="1"/>
    <col min="3358" max="3358" width="17.7109375" style="231" customWidth="1"/>
    <col min="3359" max="3359" width="9.140625" style="231"/>
    <col min="3360" max="3360" width="16.5703125" style="231" customWidth="1"/>
    <col min="3361" max="3361" width="17.5703125" style="231" customWidth="1"/>
    <col min="3362" max="3362" width="5.5703125" style="231" customWidth="1"/>
    <col min="3363" max="3578" width="9.140625" style="231"/>
    <col min="3579" max="3579" width="5.5703125" style="231" customWidth="1"/>
    <col min="3580" max="3580" width="7.5703125" style="231" customWidth="1"/>
    <col min="3581" max="3584" width="14.5703125" style="231" customWidth="1"/>
    <col min="3585" max="3592" width="14.42578125" style="231" customWidth="1"/>
    <col min="3593" max="3593" width="17.5703125" style="231" customWidth="1"/>
    <col min="3594" max="3594" width="16.85546875" style="231" customWidth="1"/>
    <col min="3595" max="3595" width="17.5703125" style="231" customWidth="1"/>
    <col min="3596" max="3597" width="5.5703125" style="231" customWidth="1"/>
    <col min="3598" max="3598" width="7.5703125" style="231" customWidth="1"/>
    <col min="3599" max="3610" width="14.5703125" style="231" customWidth="1"/>
    <col min="3611" max="3611" width="17.5703125" style="231" customWidth="1"/>
    <col min="3612" max="3612" width="16.85546875" style="231" customWidth="1"/>
    <col min="3613" max="3613" width="17.5703125" style="231" customWidth="1"/>
    <col min="3614" max="3614" width="17.7109375" style="231" customWidth="1"/>
    <col min="3615" max="3615" width="9.140625" style="231"/>
    <col min="3616" max="3616" width="16.5703125" style="231" customWidth="1"/>
    <col min="3617" max="3617" width="17.5703125" style="231" customWidth="1"/>
    <col min="3618" max="3618" width="5.5703125" style="231" customWidth="1"/>
    <col min="3619" max="3834" width="9.140625" style="231"/>
    <col min="3835" max="3835" width="5.5703125" style="231" customWidth="1"/>
    <col min="3836" max="3836" width="7.5703125" style="231" customWidth="1"/>
    <col min="3837" max="3840" width="14.5703125" style="231" customWidth="1"/>
    <col min="3841" max="3848" width="14.42578125" style="231" customWidth="1"/>
    <col min="3849" max="3849" width="17.5703125" style="231" customWidth="1"/>
    <col min="3850" max="3850" width="16.85546875" style="231" customWidth="1"/>
    <col min="3851" max="3851" width="17.5703125" style="231" customWidth="1"/>
    <col min="3852" max="3853" width="5.5703125" style="231" customWidth="1"/>
    <col min="3854" max="3854" width="7.5703125" style="231" customWidth="1"/>
    <col min="3855" max="3866" width="14.5703125" style="231" customWidth="1"/>
    <col min="3867" max="3867" width="17.5703125" style="231" customWidth="1"/>
    <col min="3868" max="3868" width="16.85546875" style="231" customWidth="1"/>
    <col min="3869" max="3869" width="17.5703125" style="231" customWidth="1"/>
    <col min="3870" max="3870" width="17.7109375" style="231" customWidth="1"/>
    <col min="3871" max="3871" width="9.140625" style="231"/>
    <col min="3872" max="3872" width="16.5703125" style="231" customWidth="1"/>
    <col min="3873" max="3873" width="17.5703125" style="231" customWidth="1"/>
    <col min="3874" max="3874" width="5.5703125" style="231" customWidth="1"/>
    <col min="3875" max="4090" width="9.140625" style="231"/>
    <col min="4091" max="4091" width="5.5703125" style="231" customWidth="1"/>
    <col min="4092" max="4092" width="7.5703125" style="231" customWidth="1"/>
    <col min="4093" max="4096" width="14.5703125" style="231" customWidth="1"/>
    <col min="4097" max="4104" width="14.42578125" style="231" customWidth="1"/>
    <col min="4105" max="4105" width="17.5703125" style="231" customWidth="1"/>
    <col min="4106" max="4106" width="16.85546875" style="231" customWidth="1"/>
    <col min="4107" max="4107" width="17.5703125" style="231" customWidth="1"/>
    <col min="4108" max="4109" width="5.5703125" style="231" customWidth="1"/>
    <col min="4110" max="4110" width="7.5703125" style="231" customWidth="1"/>
    <col min="4111" max="4122" width="14.5703125" style="231" customWidth="1"/>
    <col min="4123" max="4123" width="17.5703125" style="231" customWidth="1"/>
    <col min="4124" max="4124" width="16.85546875" style="231" customWidth="1"/>
    <col min="4125" max="4125" width="17.5703125" style="231" customWidth="1"/>
    <col min="4126" max="4126" width="17.7109375" style="231" customWidth="1"/>
    <col min="4127" max="4127" width="9.140625" style="231"/>
    <col min="4128" max="4128" width="16.5703125" style="231" customWidth="1"/>
    <col min="4129" max="4129" width="17.5703125" style="231" customWidth="1"/>
    <col min="4130" max="4130" width="5.5703125" style="231" customWidth="1"/>
    <col min="4131" max="4346" width="9.140625" style="231"/>
    <col min="4347" max="4347" width="5.5703125" style="231" customWidth="1"/>
    <col min="4348" max="4348" width="7.5703125" style="231" customWidth="1"/>
    <col min="4349" max="4352" width="14.5703125" style="231" customWidth="1"/>
    <col min="4353" max="4360" width="14.42578125" style="231" customWidth="1"/>
    <col min="4361" max="4361" width="17.5703125" style="231" customWidth="1"/>
    <col min="4362" max="4362" width="16.85546875" style="231" customWidth="1"/>
    <col min="4363" max="4363" width="17.5703125" style="231" customWidth="1"/>
    <col min="4364" max="4365" width="5.5703125" style="231" customWidth="1"/>
    <col min="4366" max="4366" width="7.5703125" style="231" customWidth="1"/>
    <col min="4367" max="4378" width="14.5703125" style="231" customWidth="1"/>
    <col min="4379" max="4379" width="17.5703125" style="231" customWidth="1"/>
    <col min="4380" max="4380" width="16.85546875" style="231" customWidth="1"/>
    <col min="4381" max="4381" width="17.5703125" style="231" customWidth="1"/>
    <col min="4382" max="4382" width="17.7109375" style="231" customWidth="1"/>
    <col min="4383" max="4383" width="9.140625" style="231"/>
    <col min="4384" max="4384" width="16.5703125" style="231" customWidth="1"/>
    <col min="4385" max="4385" width="17.5703125" style="231" customWidth="1"/>
    <col min="4386" max="4386" width="5.5703125" style="231" customWidth="1"/>
    <col min="4387" max="4602" width="9.140625" style="231"/>
    <col min="4603" max="4603" width="5.5703125" style="231" customWidth="1"/>
    <col min="4604" max="4604" width="7.5703125" style="231" customWidth="1"/>
    <col min="4605" max="4608" width="14.5703125" style="231" customWidth="1"/>
    <col min="4609" max="4616" width="14.42578125" style="231" customWidth="1"/>
    <col min="4617" max="4617" width="17.5703125" style="231" customWidth="1"/>
    <col min="4618" max="4618" width="16.85546875" style="231" customWidth="1"/>
    <col min="4619" max="4619" width="17.5703125" style="231" customWidth="1"/>
    <col min="4620" max="4621" width="5.5703125" style="231" customWidth="1"/>
    <col min="4622" max="4622" width="7.5703125" style="231" customWidth="1"/>
    <col min="4623" max="4634" width="14.5703125" style="231" customWidth="1"/>
    <col min="4635" max="4635" width="17.5703125" style="231" customWidth="1"/>
    <col min="4636" max="4636" width="16.85546875" style="231" customWidth="1"/>
    <col min="4637" max="4637" width="17.5703125" style="231" customWidth="1"/>
    <col min="4638" max="4638" width="17.7109375" style="231" customWidth="1"/>
    <col min="4639" max="4639" width="9.140625" style="231"/>
    <col min="4640" max="4640" width="16.5703125" style="231" customWidth="1"/>
    <col min="4641" max="4641" width="17.5703125" style="231" customWidth="1"/>
    <col min="4642" max="4642" width="5.5703125" style="231" customWidth="1"/>
    <col min="4643" max="4858" width="9.140625" style="231"/>
    <col min="4859" max="4859" width="5.5703125" style="231" customWidth="1"/>
    <col min="4860" max="4860" width="7.5703125" style="231" customWidth="1"/>
    <col min="4861" max="4864" width="14.5703125" style="231" customWidth="1"/>
    <col min="4865" max="4872" width="14.42578125" style="231" customWidth="1"/>
    <col min="4873" max="4873" width="17.5703125" style="231" customWidth="1"/>
    <col min="4874" max="4874" width="16.85546875" style="231" customWidth="1"/>
    <col min="4875" max="4875" width="17.5703125" style="231" customWidth="1"/>
    <col min="4876" max="4877" width="5.5703125" style="231" customWidth="1"/>
    <col min="4878" max="4878" width="7.5703125" style="231" customWidth="1"/>
    <col min="4879" max="4890" width="14.5703125" style="231" customWidth="1"/>
    <col min="4891" max="4891" width="17.5703125" style="231" customWidth="1"/>
    <col min="4892" max="4892" width="16.85546875" style="231" customWidth="1"/>
    <col min="4893" max="4893" width="17.5703125" style="231" customWidth="1"/>
    <col min="4894" max="4894" width="17.7109375" style="231" customWidth="1"/>
    <col min="4895" max="4895" width="9.140625" style="231"/>
    <col min="4896" max="4896" width="16.5703125" style="231" customWidth="1"/>
    <col min="4897" max="4897" width="17.5703125" style="231" customWidth="1"/>
    <col min="4898" max="4898" width="5.5703125" style="231" customWidth="1"/>
    <col min="4899" max="5114" width="9.140625" style="231"/>
    <col min="5115" max="5115" width="5.5703125" style="231" customWidth="1"/>
    <col min="5116" max="5116" width="7.5703125" style="231" customWidth="1"/>
    <col min="5117" max="5120" width="14.5703125" style="231" customWidth="1"/>
    <col min="5121" max="5128" width="14.42578125" style="231" customWidth="1"/>
    <col min="5129" max="5129" width="17.5703125" style="231" customWidth="1"/>
    <col min="5130" max="5130" width="16.85546875" style="231" customWidth="1"/>
    <col min="5131" max="5131" width="17.5703125" style="231" customWidth="1"/>
    <col min="5132" max="5133" width="5.5703125" style="231" customWidth="1"/>
    <col min="5134" max="5134" width="7.5703125" style="231" customWidth="1"/>
    <col min="5135" max="5146" width="14.5703125" style="231" customWidth="1"/>
    <col min="5147" max="5147" width="17.5703125" style="231" customWidth="1"/>
    <col min="5148" max="5148" width="16.85546875" style="231" customWidth="1"/>
    <col min="5149" max="5149" width="17.5703125" style="231" customWidth="1"/>
    <col min="5150" max="5150" width="17.7109375" style="231" customWidth="1"/>
    <col min="5151" max="5151" width="9.140625" style="231"/>
    <col min="5152" max="5152" width="16.5703125" style="231" customWidth="1"/>
    <col min="5153" max="5153" width="17.5703125" style="231" customWidth="1"/>
    <col min="5154" max="5154" width="5.5703125" style="231" customWidth="1"/>
    <col min="5155" max="5370" width="9.140625" style="231"/>
    <col min="5371" max="5371" width="5.5703125" style="231" customWidth="1"/>
    <col min="5372" max="5372" width="7.5703125" style="231" customWidth="1"/>
    <col min="5373" max="5376" width="14.5703125" style="231" customWidth="1"/>
    <col min="5377" max="5384" width="14.42578125" style="231" customWidth="1"/>
    <col min="5385" max="5385" width="17.5703125" style="231" customWidth="1"/>
    <col min="5386" max="5386" width="16.85546875" style="231" customWidth="1"/>
    <col min="5387" max="5387" width="17.5703125" style="231" customWidth="1"/>
    <col min="5388" max="5389" width="5.5703125" style="231" customWidth="1"/>
    <col min="5390" max="5390" width="7.5703125" style="231" customWidth="1"/>
    <col min="5391" max="5402" width="14.5703125" style="231" customWidth="1"/>
    <col min="5403" max="5403" width="17.5703125" style="231" customWidth="1"/>
    <col min="5404" max="5404" width="16.85546875" style="231" customWidth="1"/>
    <col min="5405" max="5405" width="17.5703125" style="231" customWidth="1"/>
    <col min="5406" max="5406" width="17.7109375" style="231" customWidth="1"/>
    <col min="5407" max="5407" width="9.140625" style="231"/>
    <col min="5408" max="5408" width="16.5703125" style="231" customWidth="1"/>
    <col min="5409" max="5409" width="17.5703125" style="231" customWidth="1"/>
    <col min="5410" max="5410" width="5.5703125" style="231" customWidth="1"/>
    <col min="5411" max="5626" width="9.140625" style="231"/>
    <col min="5627" max="5627" width="5.5703125" style="231" customWidth="1"/>
    <col min="5628" max="5628" width="7.5703125" style="231" customWidth="1"/>
    <col min="5629" max="5632" width="14.5703125" style="231" customWidth="1"/>
    <col min="5633" max="5640" width="14.42578125" style="231" customWidth="1"/>
    <col min="5641" max="5641" width="17.5703125" style="231" customWidth="1"/>
    <col min="5642" max="5642" width="16.85546875" style="231" customWidth="1"/>
    <col min="5643" max="5643" width="17.5703125" style="231" customWidth="1"/>
    <col min="5644" max="5645" width="5.5703125" style="231" customWidth="1"/>
    <col min="5646" max="5646" width="7.5703125" style="231" customWidth="1"/>
    <col min="5647" max="5658" width="14.5703125" style="231" customWidth="1"/>
    <col min="5659" max="5659" width="17.5703125" style="231" customWidth="1"/>
    <col min="5660" max="5660" width="16.85546875" style="231" customWidth="1"/>
    <col min="5661" max="5661" width="17.5703125" style="231" customWidth="1"/>
    <col min="5662" max="5662" width="17.7109375" style="231" customWidth="1"/>
    <col min="5663" max="5663" width="9.140625" style="231"/>
    <col min="5664" max="5664" width="16.5703125" style="231" customWidth="1"/>
    <col min="5665" max="5665" width="17.5703125" style="231" customWidth="1"/>
    <col min="5666" max="5666" width="5.5703125" style="231" customWidth="1"/>
    <col min="5667" max="5882" width="9.140625" style="231"/>
    <col min="5883" max="5883" width="5.5703125" style="231" customWidth="1"/>
    <col min="5884" max="5884" width="7.5703125" style="231" customWidth="1"/>
    <col min="5885" max="5888" width="14.5703125" style="231" customWidth="1"/>
    <col min="5889" max="5896" width="14.42578125" style="231" customWidth="1"/>
    <col min="5897" max="5897" width="17.5703125" style="231" customWidth="1"/>
    <col min="5898" max="5898" width="16.85546875" style="231" customWidth="1"/>
    <col min="5899" max="5899" width="17.5703125" style="231" customWidth="1"/>
    <col min="5900" max="5901" width="5.5703125" style="231" customWidth="1"/>
    <col min="5902" max="5902" width="7.5703125" style="231" customWidth="1"/>
    <col min="5903" max="5914" width="14.5703125" style="231" customWidth="1"/>
    <col min="5915" max="5915" width="17.5703125" style="231" customWidth="1"/>
    <col min="5916" max="5916" width="16.85546875" style="231" customWidth="1"/>
    <col min="5917" max="5917" width="17.5703125" style="231" customWidth="1"/>
    <col min="5918" max="5918" width="17.7109375" style="231" customWidth="1"/>
    <col min="5919" max="5919" width="9.140625" style="231"/>
    <col min="5920" max="5920" width="16.5703125" style="231" customWidth="1"/>
    <col min="5921" max="5921" width="17.5703125" style="231" customWidth="1"/>
    <col min="5922" max="5922" width="5.5703125" style="231" customWidth="1"/>
    <col min="5923" max="6138" width="9.140625" style="231"/>
    <col min="6139" max="6139" width="5.5703125" style="231" customWidth="1"/>
    <col min="6140" max="6140" width="7.5703125" style="231" customWidth="1"/>
    <col min="6141" max="6144" width="14.5703125" style="231" customWidth="1"/>
    <col min="6145" max="6152" width="14.42578125" style="231" customWidth="1"/>
    <col min="6153" max="6153" width="17.5703125" style="231" customWidth="1"/>
    <col min="6154" max="6154" width="16.85546875" style="231" customWidth="1"/>
    <col min="6155" max="6155" width="17.5703125" style="231" customWidth="1"/>
    <col min="6156" max="6157" width="5.5703125" style="231" customWidth="1"/>
    <col min="6158" max="6158" width="7.5703125" style="231" customWidth="1"/>
    <col min="6159" max="6170" width="14.5703125" style="231" customWidth="1"/>
    <col min="6171" max="6171" width="17.5703125" style="231" customWidth="1"/>
    <col min="6172" max="6172" width="16.85546875" style="231" customWidth="1"/>
    <col min="6173" max="6173" width="17.5703125" style="231" customWidth="1"/>
    <col min="6174" max="6174" width="17.7109375" style="231" customWidth="1"/>
    <col min="6175" max="6175" width="9.140625" style="231"/>
    <col min="6176" max="6176" width="16.5703125" style="231" customWidth="1"/>
    <col min="6177" max="6177" width="17.5703125" style="231" customWidth="1"/>
    <col min="6178" max="6178" width="5.5703125" style="231" customWidth="1"/>
    <col min="6179" max="6394" width="9.140625" style="231"/>
    <col min="6395" max="6395" width="5.5703125" style="231" customWidth="1"/>
    <col min="6396" max="6396" width="7.5703125" style="231" customWidth="1"/>
    <col min="6397" max="6400" width="14.5703125" style="231" customWidth="1"/>
    <col min="6401" max="6408" width="14.42578125" style="231" customWidth="1"/>
    <col min="6409" max="6409" width="17.5703125" style="231" customWidth="1"/>
    <col min="6410" max="6410" width="16.85546875" style="231" customWidth="1"/>
    <col min="6411" max="6411" width="17.5703125" style="231" customWidth="1"/>
    <col min="6412" max="6413" width="5.5703125" style="231" customWidth="1"/>
    <col min="6414" max="6414" width="7.5703125" style="231" customWidth="1"/>
    <col min="6415" max="6426" width="14.5703125" style="231" customWidth="1"/>
    <col min="6427" max="6427" width="17.5703125" style="231" customWidth="1"/>
    <col min="6428" max="6428" width="16.85546875" style="231" customWidth="1"/>
    <col min="6429" max="6429" width="17.5703125" style="231" customWidth="1"/>
    <col min="6430" max="6430" width="17.7109375" style="231" customWidth="1"/>
    <col min="6431" max="6431" width="9.140625" style="231"/>
    <col min="6432" max="6432" width="16.5703125" style="231" customWidth="1"/>
    <col min="6433" max="6433" width="17.5703125" style="231" customWidth="1"/>
    <col min="6434" max="6434" width="5.5703125" style="231" customWidth="1"/>
    <col min="6435" max="6650" width="9.140625" style="231"/>
    <col min="6651" max="6651" width="5.5703125" style="231" customWidth="1"/>
    <col min="6652" max="6652" width="7.5703125" style="231" customWidth="1"/>
    <col min="6653" max="6656" width="14.5703125" style="231" customWidth="1"/>
    <col min="6657" max="6664" width="14.42578125" style="231" customWidth="1"/>
    <col min="6665" max="6665" width="17.5703125" style="231" customWidth="1"/>
    <col min="6666" max="6666" width="16.85546875" style="231" customWidth="1"/>
    <col min="6667" max="6667" width="17.5703125" style="231" customWidth="1"/>
    <col min="6668" max="6669" width="5.5703125" style="231" customWidth="1"/>
    <col min="6670" max="6670" width="7.5703125" style="231" customWidth="1"/>
    <col min="6671" max="6682" width="14.5703125" style="231" customWidth="1"/>
    <col min="6683" max="6683" width="17.5703125" style="231" customWidth="1"/>
    <col min="6684" max="6684" width="16.85546875" style="231" customWidth="1"/>
    <col min="6685" max="6685" width="17.5703125" style="231" customWidth="1"/>
    <col min="6686" max="6686" width="17.7109375" style="231" customWidth="1"/>
    <col min="6687" max="6687" width="9.140625" style="231"/>
    <col min="6688" max="6688" width="16.5703125" style="231" customWidth="1"/>
    <col min="6689" max="6689" width="17.5703125" style="231" customWidth="1"/>
    <col min="6690" max="6690" width="5.5703125" style="231" customWidth="1"/>
    <col min="6691" max="6906" width="9.140625" style="231"/>
    <col min="6907" max="6907" width="5.5703125" style="231" customWidth="1"/>
    <col min="6908" max="6908" width="7.5703125" style="231" customWidth="1"/>
    <col min="6909" max="6912" width="14.5703125" style="231" customWidth="1"/>
    <col min="6913" max="6920" width="14.42578125" style="231" customWidth="1"/>
    <col min="6921" max="6921" width="17.5703125" style="231" customWidth="1"/>
    <col min="6922" max="6922" width="16.85546875" style="231" customWidth="1"/>
    <col min="6923" max="6923" width="17.5703125" style="231" customWidth="1"/>
    <col min="6924" max="6925" width="5.5703125" style="231" customWidth="1"/>
    <col min="6926" max="6926" width="7.5703125" style="231" customWidth="1"/>
    <col min="6927" max="6938" width="14.5703125" style="231" customWidth="1"/>
    <col min="6939" max="6939" width="17.5703125" style="231" customWidth="1"/>
    <col min="6940" max="6940" width="16.85546875" style="231" customWidth="1"/>
    <col min="6941" max="6941" width="17.5703125" style="231" customWidth="1"/>
    <col min="6942" max="6942" width="17.7109375" style="231" customWidth="1"/>
    <col min="6943" max="6943" width="9.140625" style="231"/>
    <col min="6944" max="6944" width="16.5703125" style="231" customWidth="1"/>
    <col min="6945" max="6945" width="17.5703125" style="231" customWidth="1"/>
    <col min="6946" max="6946" width="5.5703125" style="231" customWidth="1"/>
    <col min="6947" max="7162" width="9.140625" style="231"/>
    <col min="7163" max="7163" width="5.5703125" style="231" customWidth="1"/>
    <col min="7164" max="7164" width="7.5703125" style="231" customWidth="1"/>
    <col min="7165" max="7168" width="14.5703125" style="231" customWidth="1"/>
    <col min="7169" max="7176" width="14.42578125" style="231" customWidth="1"/>
    <col min="7177" max="7177" width="17.5703125" style="231" customWidth="1"/>
    <col min="7178" max="7178" width="16.85546875" style="231" customWidth="1"/>
    <col min="7179" max="7179" width="17.5703125" style="231" customWidth="1"/>
    <col min="7180" max="7181" width="5.5703125" style="231" customWidth="1"/>
    <col min="7182" max="7182" width="7.5703125" style="231" customWidth="1"/>
    <col min="7183" max="7194" width="14.5703125" style="231" customWidth="1"/>
    <col min="7195" max="7195" width="17.5703125" style="231" customWidth="1"/>
    <col min="7196" max="7196" width="16.85546875" style="231" customWidth="1"/>
    <col min="7197" max="7197" width="17.5703125" style="231" customWidth="1"/>
    <col min="7198" max="7198" width="17.7109375" style="231" customWidth="1"/>
    <col min="7199" max="7199" width="9.140625" style="231"/>
    <col min="7200" max="7200" width="16.5703125" style="231" customWidth="1"/>
    <col min="7201" max="7201" width="17.5703125" style="231" customWidth="1"/>
    <col min="7202" max="7202" width="5.5703125" style="231" customWidth="1"/>
    <col min="7203" max="7418" width="9.140625" style="231"/>
    <col min="7419" max="7419" width="5.5703125" style="231" customWidth="1"/>
    <col min="7420" max="7420" width="7.5703125" style="231" customWidth="1"/>
    <col min="7421" max="7424" width="14.5703125" style="231" customWidth="1"/>
    <col min="7425" max="7432" width="14.42578125" style="231" customWidth="1"/>
    <col min="7433" max="7433" width="17.5703125" style="231" customWidth="1"/>
    <col min="7434" max="7434" width="16.85546875" style="231" customWidth="1"/>
    <col min="7435" max="7435" width="17.5703125" style="231" customWidth="1"/>
    <col min="7436" max="7437" width="5.5703125" style="231" customWidth="1"/>
    <col min="7438" max="7438" width="7.5703125" style="231" customWidth="1"/>
    <col min="7439" max="7450" width="14.5703125" style="231" customWidth="1"/>
    <col min="7451" max="7451" width="17.5703125" style="231" customWidth="1"/>
    <col min="7452" max="7452" width="16.85546875" style="231" customWidth="1"/>
    <col min="7453" max="7453" width="17.5703125" style="231" customWidth="1"/>
    <col min="7454" max="7454" width="17.7109375" style="231" customWidth="1"/>
    <col min="7455" max="7455" width="9.140625" style="231"/>
    <col min="7456" max="7456" width="16.5703125" style="231" customWidth="1"/>
    <col min="7457" max="7457" width="17.5703125" style="231" customWidth="1"/>
    <col min="7458" max="7458" width="5.5703125" style="231" customWidth="1"/>
    <col min="7459" max="7674" width="9.140625" style="231"/>
    <col min="7675" max="7675" width="5.5703125" style="231" customWidth="1"/>
    <col min="7676" max="7676" width="7.5703125" style="231" customWidth="1"/>
    <col min="7677" max="7680" width="14.5703125" style="231" customWidth="1"/>
    <col min="7681" max="7688" width="14.42578125" style="231" customWidth="1"/>
    <col min="7689" max="7689" width="17.5703125" style="231" customWidth="1"/>
    <col min="7690" max="7690" width="16.85546875" style="231" customWidth="1"/>
    <col min="7691" max="7691" width="17.5703125" style="231" customWidth="1"/>
    <col min="7692" max="7693" width="5.5703125" style="231" customWidth="1"/>
    <col min="7694" max="7694" width="7.5703125" style="231" customWidth="1"/>
    <col min="7695" max="7706" width="14.5703125" style="231" customWidth="1"/>
    <col min="7707" max="7707" width="17.5703125" style="231" customWidth="1"/>
    <col min="7708" max="7708" width="16.85546875" style="231" customWidth="1"/>
    <col min="7709" max="7709" width="17.5703125" style="231" customWidth="1"/>
    <col min="7710" max="7710" width="17.7109375" style="231" customWidth="1"/>
    <col min="7711" max="7711" width="9.140625" style="231"/>
    <col min="7712" max="7712" width="16.5703125" style="231" customWidth="1"/>
    <col min="7713" max="7713" width="17.5703125" style="231" customWidth="1"/>
    <col min="7714" max="7714" width="5.5703125" style="231" customWidth="1"/>
    <col min="7715" max="7930" width="9.140625" style="231"/>
    <col min="7931" max="7931" width="5.5703125" style="231" customWidth="1"/>
    <col min="7932" max="7932" width="7.5703125" style="231" customWidth="1"/>
    <col min="7933" max="7936" width="14.5703125" style="231" customWidth="1"/>
    <col min="7937" max="7944" width="14.42578125" style="231" customWidth="1"/>
    <col min="7945" max="7945" width="17.5703125" style="231" customWidth="1"/>
    <col min="7946" max="7946" width="16.85546875" style="231" customWidth="1"/>
    <col min="7947" max="7947" width="17.5703125" style="231" customWidth="1"/>
    <col min="7948" max="7949" width="5.5703125" style="231" customWidth="1"/>
    <col min="7950" max="7950" width="7.5703125" style="231" customWidth="1"/>
    <col min="7951" max="7962" width="14.5703125" style="231" customWidth="1"/>
    <col min="7963" max="7963" width="17.5703125" style="231" customWidth="1"/>
    <col min="7964" max="7964" width="16.85546875" style="231" customWidth="1"/>
    <col min="7965" max="7965" width="17.5703125" style="231" customWidth="1"/>
    <col min="7966" max="7966" width="17.7109375" style="231" customWidth="1"/>
    <col min="7967" max="7967" width="9.140625" style="231"/>
    <col min="7968" max="7968" width="16.5703125" style="231" customWidth="1"/>
    <col min="7969" max="7969" width="17.5703125" style="231" customWidth="1"/>
    <col min="7970" max="7970" width="5.5703125" style="231" customWidth="1"/>
    <col min="7971" max="8186" width="9.140625" style="231"/>
    <col min="8187" max="8187" width="5.5703125" style="231" customWidth="1"/>
    <col min="8188" max="8188" width="7.5703125" style="231" customWidth="1"/>
    <col min="8189" max="8192" width="14.5703125" style="231" customWidth="1"/>
    <col min="8193" max="8200" width="14.42578125" style="231" customWidth="1"/>
    <col min="8201" max="8201" width="17.5703125" style="231" customWidth="1"/>
    <col min="8202" max="8202" width="16.85546875" style="231" customWidth="1"/>
    <col min="8203" max="8203" width="17.5703125" style="231" customWidth="1"/>
    <col min="8204" max="8205" width="5.5703125" style="231" customWidth="1"/>
    <col min="8206" max="8206" width="7.5703125" style="231" customWidth="1"/>
    <col min="8207" max="8218" width="14.5703125" style="231" customWidth="1"/>
    <col min="8219" max="8219" width="17.5703125" style="231" customWidth="1"/>
    <col min="8220" max="8220" width="16.85546875" style="231" customWidth="1"/>
    <col min="8221" max="8221" width="17.5703125" style="231" customWidth="1"/>
    <col min="8222" max="8222" width="17.7109375" style="231" customWidth="1"/>
    <col min="8223" max="8223" width="9.140625" style="231"/>
    <col min="8224" max="8224" width="16.5703125" style="231" customWidth="1"/>
    <col min="8225" max="8225" width="17.5703125" style="231" customWidth="1"/>
    <col min="8226" max="8226" width="5.5703125" style="231" customWidth="1"/>
    <col min="8227" max="8442" width="9.140625" style="231"/>
    <col min="8443" max="8443" width="5.5703125" style="231" customWidth="1"/>
    <col min="8444" max="8444" width="7.5703125" style="231" customWidth="1"/>
    <col min="8445" max="8448" width="14.5703125" style="231" customWidth="1"/>
    <col min="8449" max="8456" width="14.42578125" style="231" customWidth="1"/>
    <col min="8457" max="8457" width="17.5703125" style="231" customWidth="1"/>
    <col min="8458" max="8458" width="16.85546875" style="231" customWidth="1"/>
    <col min="8459" max="8459" width="17.5703125" style="231" customWidth="1"/>
    <col min="8460" max="8461" width="5.5703125" style="231" customWidth="1"/>
    <col min="8462" max="8462" width="7.5703125" style="231" customWidth="1"/>
    <col min="8463" max="8474" width="14.5703125" style="231" customWidth="1"/>
    <col min="8475" max="8475" width="17.5703125" style="231" customWidth="1"/>
    <col min="8476" max="8476" width="16.85546875" style="231" customWidth="1"/>
    <col min="8477" max="8477" width="17.5703125" style="231" customWidth="1"/>
    <col min="8478" max="8478" width="17.7109375" style="231" customWidth="1"/>
    <col min="8479" max="8479" width="9.140625" style="231"/>
    <col min="8480" max="8480" width="16.5703125" style="231" customWidth="1"/>
    <col min="8481" max="8481" width="17.5703125" style="231" customWidth="1"/>
    <col min="8482" max="8482" width="5.5703125" style="231" customWidth="1"/>
    <col min="8483" max="8698" width="9.140625" style="231"/>
    <col min="8699" max="8699" width="5.5703125" style="231" customWidth="1"/>
    <col min="8700" max="8700" width="7.5703125" style="231" customWidth="1"/>
    <col min="8701" max="8704" width="14.5703125" style="231" customWidth="1"/>
    <col min="8705" max="8712" width="14.42578125" style="231" customWidth="1"/>
    <col min="8713" max="8713" width="17.5703125" style="231" customWidth="1"/>
    <col min="8714" max="8714" width="16.85546875" style="231" customWidth="1"/>
    <col min="8715" max="8715" width="17.5703125" style="231" customWidth="1"/>
    <col min="8716" max="8717" width="5.5703125" style="231" customWidth="1"/>
    <col min="8718" max="8718" width="7.5703125" style="231" customWidth="1"/>
    <col min="8719" max="8730" width="14.5703125" style="231" customWidth="1"/>
    <col min="8731" max="8731" width="17.5703125" style="231" customWidth="1"/>
    <col min="8732" max="8732" width="16.85546875" style="231" customWidth="1"/>
    <col min="8733" max="8733" width="17.5703125" style="231" customWidth="1"/>
    <col min="8734" max="8734" width="17.7109375" style="231" customWidth="1"/>
    <col min="8735" max="8735" width="9.140625" style="231"/>
    <col min="8736" max="8736" width="16.5703125" style="231" customWidth="1"/>
    <col min="8737" max="8737" width="17.5703125" style="231" customWidth="1"/>
    <col min="8738" max="8738" width="5.5703125" style="231" customWidth="1"/>
    <col min="8739" max="8954" width="9.140625" style="231"/>
    <col min="8955" max="8955" width="5.5703125" style="231" customWidth="1"/>
    <col min="8956" max="8956" width="7.5703125" style="231" customWidth="1"/>
    <col min="8957" max="8960" width="14.5703125" style="231" customWidth="1"/>
    <col min="8961" max="8968" width="14.42578125" style="231" customWidth="1"/>
    <col min="8969" max="8969" width="17.5703125" style="231" customWidth="1"/>
    <col min="8970" max="8970" width="16.85546875" style="231" customWidth="1"/>
    <col min="8971" max="8971" width="17.5703125" style="231" customWidth="1"/>
    <col min="8972" max="8973" width="5.5703125" style="231" customWidth="1"/>
    <col min="8974" max="8974" width="7.5703125" style="231" customWidth="1"/>
    <col min="8975" max="8986" width="14.5703125" style="231" customWidth="1"/>
    <col min="8987" max="8987" width="17.5703125" style="231" customWidth="1"/>
    <col min="8988" max="8988" width="16.85546875" style="231" customWidth="1"/>
    <col min="8989" max="8989" width="17.5703125" style="231" customWidth="1"/>
    <col min="8990" max="8990" width="17.7109375" style="231" customWidth="1"/>
    <col min="8991" max="8991" width="9.140625" style="231"/>
    <col min="8992" max="8992" width="16.5703125" style="231" customWidth="1"/>
    <col min="8993" max="8993" width="17.5703125" style="231" customWidth="1"/>
    <col min="8994" max="8994" width="5.5703125" style="231" customWidth="1"/>
    <col min="8995" max="9210" width="9.140625" style="231"/>
    <col min="9211" max="9211" width="5.5703125" style="231" customWidth="1"/>
    <col min="9212" max="9212" width="7.5703125" style="231" customWidth="1"/>
    <col min="9213" max="9216" width="14.5703125" style="231" customWidth="1"/>
    <col min="9217" max="9224" width="14.42578125" style="231" customWidth="1"/>
    <col min="9225" max="9225" width="17.5703125" style="231" customWidth="1"/>
    <col min="9226" max="9226" width="16.85546875" style="231" customWidth="1"/>
    <col min="9227" max="9227" width="17.5703125" style="231" customWidth="1"/>
    <col min="9228" max="9229" width="5.5703125" style="231" customWidth="1"/>
    <col min="9230" max="9230" width="7.5703125" style="231" customWidth="1"/>
    <col min="9231" max="9242" width="14.5703125" style="231" customWidth="1"/>
    <col min="9243" max="9243" width="17.5703125" style="231" customWidth="1"/>
    <col min="9244" max="9244" width="16.85546875" style="231" customWidth="1"/>
    <col min="9245" max="9245" width="17.5703125" style="231" customWidth="1"/>
    <col min="9246" max="9246" width="17.7109375" style="231" customWidth="1"/>
    <col min="9247" max="9247" width="9.140625" style="231"/>
    <col min="9248" max="9248" width="16.5703125" style="231" customWidth="1"/>
    <col min="9249" max="9249" width="17.5703125" style="231" customWidth="1"/>
    <col min="9250" max="9250" width="5.5703125" style="231" customWidth="1"/>
    <col min="9251" max="9466" width="9.140625" style="231"/>
    <col min="9467" max="9467" width="5.5703125" style="231" customWidth="1"/>
    <col min="9468" max="9468" width="7.5703125" style="231" customWidth="1"/>
    <col min="9469" max="9472" width="14.5703125" style="231" customWidth="1"/>
    <col min="9473" max="9480" width="14.42578125" style="231" customWidth="1"/>
    <col min="9481" max="9481" width="17.5703125" style="231" customWidth="1"/>
    <col min="9482" max="9482" width="16.85546875" style="231" customWidth="1"/>
    <col min="9483" max="9483" width="17.5703125" style="231" customWidth="1"/>
    <col min="9484" max="9485" width="5.5703125" style="231" customWidth="1"/>
    <col min="9486" max="9486" width="7.5703125" style="231" customWidth="1"/>
    <col min="9487" max="9498" width="14.5703125" style="231" customWidth="1"/>
    <col min="9499" max="9499" width="17.5703125" style="231" customWidth="1"/>
    <col min="9500" max="9500" width="16.85546875" style="231" customWidth="1"/>
    <col min="9501" max="9501" width="17.5703125" style="231" customWidth="1"/>
    <col min="9502" max="9502" width="17.7109375" style="231" customWidth="1"/>
    <col min="9503" max="9503" width="9.140625" style="231"/>
    <col min="9504" max="9504" width="16.5703125" style="231" customWidth="1"/>
    <col min="9505" max="9505" width="17.5703125" style="231" customWidth="1"/>
    <col min="9506" max="9506" width="5.5703125" style="231" customWidth="1"/>
    <col min="9507" max="9722" width="9.140625" style="231"/>
    <col min="9723" max="9723" width="5.5703125" style="231" customWidth="1"/>
    <col min="9724" max="9724" width="7.5703125" style="231" customWidth="1"/>
    <col min="9725" max="9728" width="14.5703125" style="231" customWidth="1"/>
    <col min="9729" max="9736" width="14.42578125" style="231" customWidth="1"/>
    <col min="9737" max="9737" width="17.5703125" style="231" customWidth="1"/>
    <col min="9738" max="9738" width="16.85546875" style="231" customWidth="1"/>
    <col min="9739" max="9739" width="17.5703125" style="231" customWidth="1"/>
    <col min="9740" max="9741" width="5.5703125" style="231" customWidth="1"/>
    <col min="9742" max="9742" width="7.5703125" style="231" customWidth="1"/>
    <col min="9743" max="9754" width="14.5703125" style="231" customWidth="1"/>
    <col min="9755" max="9755" width="17.5703125" style="231" customWidth="1"/>
    <col min="9756" max="9756" width="16.85546875" style="231" customWidth="1"/>
    <col min="9757" max="9757" width="17.5703125" style="231" customWidth="1"/>
    <col min="9758" max="9758" width="17.7109375" style="231" customWidth="1"/>
    <col min="9759" max="9759" width="9.140625" style="231"/>
    <col min="9760" max="9760" width="16.5703125" style="231" customWidth="1"/>
    <col min="9761" max="9761" width="17.5703125" style="231" customWidth="1"/>
    <col min="9762" max="9762" width="5.5703125" style="231" customWidth="1"/>
    <col min="9763" max="9978" width="9.140625" style="231"/>
    <col min="9979" max="9979" width="5.5703125" style="231" customWidth="1"/>
    <col min="9980" max="9980" width="7.5703125" style="231" customWidth="1"/>
    <col min="9981" max="9984" width="14.5703125" style="231" customWidth="1"/>
    <col min="9985" max="9992" width="14.42578125" style="231" customWidth="1"/>
    <col min="9993" max="9993" width="17.5703125" style="231" customWidth="1"/>
    <col min="9994" max="9994" width="16.85546875" style="231" customWidth="1"/>
    <col min="9995" max="9995" width="17.5703125" style="231" customWidth="1"/>
    <col min="9996" max="9997" width="5.5703125" style="231" customWidth="1"/>
    <col min="9998" max="9998" width="7.5703125" style="231" customWidth="1"/>
    <col min="9999" max="10010" width="14.5703125" style="231" customWidth="1"/>
    <col min="10011" max="10011" width="17.5703125" style="231" customWidth="1"/>
    <col min="10012" max="10012" width="16.85546875" style="231" customWidth="1"/>
    <col min="10013" max="10013" width="17.5703125" style="231" customWidth="1"/>
    <col min="10014" max="10014" width="17.7109375" style="231" customWidth="1"/>
    <col min="10015" max="10015" width="9.140625" style="231"/>
    <col min="10016" max="10016" width="16.5703125" style="231" customWidth="1"/>
    <col min="10017" max="10017" width="17.5703125" style="231" customWidth="1"/>
    <col min="10018" max="10018" width="5.5703125" style="231" customWidth="1"/>
    <col min="10019" max="10234" width="9.140625" style="231"/>
    <col min="10235" max="10235" width="5.5703125" style="231" customWidth="1"/>
    <col min="10236" max="10236" width="7.5703125" style="231" customWidth="1"/>
    <col min="10237" max="10240" width="14.5703125" style="231" customWidth="1"/>
    <col min="10241" max="10248" width="14.42578125" style="231" customWidth="1"/>
    <col min="10249" max="10249" width="17.5703125" style="231" customWidth="1"/>
    <col min="10250" max="10250" width="16.85546875" style="231" customWidth="1"/>
    <col min="10251" max="10251" width="17.5703125" style="231" customWidth="1"/>
    <col min="10252" max="10253" width="5.5703125" style="231" customWidth="1"/>
    <col min="10254" max="10254" width="7.5703125" style="231" customWidth="1"/>
    <col min="10255" max="10266" width="14.5703125" style="231" customWidth="1"/>
    <col min="10267" max="10267" width="17.5703125" style="231" customWidth="1"/>
    <col min="10268" max="10268" width="16.85546875" style="231" customWidth="1"/>
    <col min="10269" max="10269" width="17.5703125" style="231" customWidth="1"/>
    <col min="10270" max="10270" width="17.7109375" style="231" customWidth="1"/>
    <col min="10271" max="10271" width="9.140625" style="231"/>
    <col min="10272" max="10272" width="16.5703125" style="231" customWidth="1"/>
    <col min="10273" max="10273" width="17.5703125" style="231" customWidth="1"/>
    <col min="10274" max="10274" width="5.5703125" style="231" customWidth="1"/>
    <col min="10275" max="10490" width="9.140625" style="231"/>
    <col min="10491" max="10491" width="5.5703125" style="231" customWidth="1"/>
    <col min="10492" max="10492" width="7.5703125" style="231" customWidth="1"/>
    <col min="10493" max="10496" width="14.5703125" style="231" customWidth="1"/>
    <col min="10497" max="10504" width="14.42578125" style="231" customWidth="1"/>
    <col min="10505" max="10505" width="17.5703125" style="231" customWidth="1"/>
    <col min="10506" max="10506" width="16.85546875" style="231" customWidth="1"/>
    <col min="10507" max="10507" width="17.5703125" style="231" customWidth="1"/>
    <col min="10508" max="10509" width="5.5703125" style="231" customWidth="1"/>
    <col min="10510" max="10510" width="7.5703125" style="231" customWidth="1"/>
    <col min="10511" max="10522" width="14.5703125" style="231" customWidth="1"/>
    <col min="10523" max="10523" width="17.5703125" style="231" customWidth="1"/>
    <col min="10524" max="10524" width="16.85546875" style="231" customWidth="1"/>
    <col min="10525" max="10525" width="17.5703125" style="231" customWidth="1"/>
    <col min="10526" max="10526" width="17.7109375" style="231" customWidth="1"/>
    <col min="10527" max="10527" width="9.140625" style="231"/>
    <col min="10528" max="10528" width="16.5703125" style="231" customWidth="1"/>
    <col min="10529" max="10529" width="17.5703125" style="231" customWidth="1"/>
    <col min="10530" max="10530" width="5.5703125" style="231" customWidth="1"/>
    <col min="10531" max="10746" width="9.140625" style="231"/>
    <col min="10747" max="10747" width="5.5703125" style="231" customWidth="1"/>
    <col min="10748" max="10748" width="7.5703125" style="231" customWidth="1"/>
    <col min="10749" max="10752" width="14.5703125" style="231" customWidth="1"/>
    <col min="10753" max="10760" width="14.42578125" style="231" customWidth="1"/>
    <col min="10761" max="10761" width="17.5703125" style="231" customWidth="1"/>
    <col min="10762" max="10762" width="16.85546875" style="231" customWidth="1"/>
    <col min="10763" max="10763" width="17.5703125" style="231" customWidth="1"/>
    <col min="10764" max="10765" width="5.5703125" style="231" customWidth="1"/>
    <col min="10766" max="10766" width="7.5703125" style="231" customWidth="1"/>
    <col min="10767" max="10778" width="14.5703125" style="231" customWidth="1"/>
    <col min="10779" max="10779" width="17.5703125" style="231" customWidth="1"/>
    <col min="10780" max="10780" width="16.85546875" style="231" customWidth="1"/>
    <col min="10781" max="10781" width="17.5703125" style="231" customWidth="1"/>
    <col min="10782" max="10782" width="17.7109375" style="231" customWidth="1"/>
    <col min="10783" max="10783" width="9.140625" style="231"/>
    <col min="10784" max="10784" width="16.5703125" style="231" customWidth="1"/>
    <col min="10785" max="10785" width="17.5703125" style="231" customWidth="1"/>
    <col min="10786" max="10786" width="5.5703125" style="231" customWidth="1"/>
    <col min="10787" max="11002" width="9.140625" style="231"/>
    <col min="11003" max="11003" width="5.5703125" style="231" customWidth="1"/>
    <col min="11004" max="11004" width="7.5703125" style="231" customWidth="1"/>
    <col min="11005" max="11008" width="14.5703125" style="231" customWidth="1"/>
    <col min="11009" max="11016" width="14.42578125" style="231" customWidth="1"/>
    <col min="11017" max="11017" width="17.5703125" style="231" customWidth="1"/>
    <col min="11018" max="11018" width="16.85546875" style="231" customWidth="1"/>
    <col min="11019" max="11019" width="17.5703125" style="231" customWidth="1"/>
    <col min="11020" max="11021" width="5.5703125" style="231" customWidth="1"/>
    <col min="11022" max="11022" width="7.5703125" style="231" customWidth="1"/>
    <col min="11023" max="11034" width="14.5703125" style="231" customWidth="1"/>
    <col min="11035" max="11035" width="17.5703125" style="231" customWidth="1"/>
    <col min="11036" max="11036" width="16.85546875" style="231" customWidth="1"/>
    <col min="11037" max="11037" width="17.5703125" style="231" customWidth="1"/>
    <col min="11038" max="11038" width="17.7109375" style="231" customWidth="1"/>
    <col min="11039" max="11039" width="9.140625" style="231"/>
    <col min="11040" max="11040" width="16.5703125" style="231" customWidth="1"/>
    <col min="11041" max="11041" width="17.5703125" style="231" customWidth="1"/>
    <col min="11042" max="11042" width="5.5703125" style="231" customWidth="1"/>
    <col min="11043" max="11258" width="9.140625" style="231"/>
    <col min="11259" max="11259" width="5.5703125" style="231" customWidth="1"/>
    <col min="11260" max="11260" width="7.5703125" style="231" customWidth="1"/>
    <col min="11261" max="11264" width="14.5703125" style="231" customWidth="1"/>
    <col min="11265" max="11272" width="14.42578125" style="231" customWidth="1"/>
    <col min="11273" max="11273" width="17.5703125" style="231" customWidth="1"/>
    <col min="11274" max="11274" width="16.85546875" style="231" customWidth="1"/>
    <col min="11275" max="11275" width="17.5703125" style="231" customWidth="1"/>
    <col min="11276" max="11277" width="5.5703125" style="231" customWidth="1"/>
    <col min="11278" max="11278" width="7.5703125" style="231" customWidth="1"/>
    <col min="11279" max="11290" width="14.5703125" style="231" customWidth="1"/>
    <col min="11291" max="11291" width="17.5703125" style="231" customWidth="1"/>
    <col min="11292" max="11292" width="16.85546875" style="231" customWidth="1"/>
    <col min="11293" max="11293" width="17.5703125" style="231" customWidth="1"/>
    <col min="11294" max="11294" width="17.7109375" style="231" customWidth="1"/>
    <col min="11295" max="11295" width="9.140625" style="231"/>
    <col min="11296" max="11296" width="16.5703125" style="231" customWidth="1"/>
    <col min="11297" max="11297" width="17.5703125" style="231" customWidth="1"/>
    <col min="11298" max="11298" width="5.5703125" style="231" customWidth="1"/>
    <col min="11299" max="11514" width="9.140625" style="231"/>
    <col min="11515" max="11515" width="5.5703125" style="231" customWidth="1"/>
    <col min="11516" max="11516" width="7.5703125" style="231" customWidth="1"/>
    <col min="11517" max="11520" width="14.5703125" style="231" customWidth="1"/>
    <col min="11521" max="11528" width="14.42578125" style="231" customWidth="1"/>
    <col min="11529" max="11529" width="17.5703125" style="231" customWidth="1"/>
    <col min="11530" max="11530" width="16.85546875" style="231" customWidth="1"/>
    <col min="11531" max="11531" width="17.5703125" style="231" customWidth="1"/>
    <col min="11532" max="11533" width="5.5703125" style="231" customWidth="1"/>
    <col min="11534" max="11534" width="7.5703125" style="231" customWidth="1"/>
    <col min="11535" max="11546" width="14.5703125" style="231" customWidth="1"/>
    <col min="11547" max="11547" width="17.5703125" style="231" customWidth="1"/>
    <col min="11548" max="11548" width="16.85546875" style="231" customWidth="1"/>
    <col min="11549" max="11549" width="17.5703125" style="231" customWidth="1"/>
    <col min="11550" max="11550" width="17.7109375" style="231" customWidth="1"/>
    <col min="11551" max="11551" width="9.140625" style="231"/>
    <col min="11552" max="11552" width="16.5703125" style="231" customWidth="1"/>
    <col min="11553" max="11553" width="17.5703125" style="231" customWidth="1"/>
    <col min="11554" max="11554" width="5.5703125" style="231" customWidth="1"/>
    <col min="11555" max="11770" width="9.140625" style="231"/>
    <col min="11771" max="11771" width="5.5703125" style="231" customWidth="1"/>
    <col min="11772" max="11772" width="7.5703125" style="231" customWidth="1"/>
    <col min="11773" max="11776" width="14.5703125" style="231" customWidth="1"/>
    <col min="11777" max="11784" width="14.42578125" style="231" customWidth="1"/>
    <col min="11785" max="11785" width="17.5703125" style="231" customWidth="1"/>
    <col min="11786" max="11786" width="16.85546875" style="231" customWidth="1"/>
    <col min="11787" max="11787" width="17.5703125" style="231" customWidth="1"/>
    <col min="11788" max="11789" width="5.5703125" style="231" customWidth="1"/>
    <col min="11790" max="11790" width="7.5703125" style="231" customWidth="1"/>
    <col min="11791" max="11802" width="14.5703125" style="231" customWidth="1"/>
    <col min="11803" max="11803" width="17.5703125" style="231" customWidth="1"/>
    <col min="11804" max="11804" width="16.85546875" style="231" customWidth="1"/>
    <col min="11805" max="11805" width="17.5703125" style="231" customWidth="1"/>
    <col min="11806" max="11806" width="17.7109375" style="231" customWidth="1"/>
    <col min="11807" max="11807" width="9.140625" style="231"/>
    <col min="11808" max="11808" width="16.5703125" style="231" customWidth="1"/>
    <col min="11809" max="11809" width="17.5703125" style="231" customWidth="1"/>
    <col min="11810" max="11810" width="5.5703125" style="231" customWidth="1"/>
    <col min="11811" max="12026" width="9.140625" style="231"/>
    <col min="12027" max="12027" width="5.5703125" style="231" customWidth="1"/>
    <col min="12028" max="12028" width="7.5703125" style="231" customWidth="1"/>
    <col min="12029" max="12032" width="14.5703125" style="231" customWidth="1"/>
    <col min="12033" max="12040" width="14.42578125" style="231" customWidth="1"/>
    <col min="12041" max="12041" width="17.5703125" style="231" customWidth="1"/>
    <col min="12042" max="12042" width="16.85546875" style="231" customWidth="1"/>
    <col min="12043" max="12043" width="17.5703125" style="231" customWidth="1"/>
    <col min="12044" max="12045" width="5.5703125" style="231" customWidth="1"/>
    <col min="12046" max="12046" width="7.5703125" style="231" customWidth="1"/>
    <col min="12047" max="12058" width="14.5703125" style="231" customWidth="1"/>
    <col min="12059" max="12059" width="17.5703125" style="231" customWidth="1"/>
    <col min="12060" max="12060" width="16.85546875" style="231" customWidth="1"/>
    <col min="12061" max="12061" width="17.5703125" style="231" customWidth="1"/>
    <col min="12062" max="12062" width="17.7109375" style="231" customWidth="1"/>
    <col min="12063" max="12063" width="9.140625" style="231"/>
    <col min="12064" max="12064" width="16.5703125" style="231" customWidth="1"/>
    <col min="12065" max="12065" width="17.5703125" style="231" customWidth="1"/>
    <col min="12066" max="12066" width="5.5703125" style="231" customWidth="1"/>
    <col min="12067" max="12282" width="9.140625" style="231"/>
    <col min="12283" max="12283" width="5.5703125" style="231" customWidth="1"/>
    <col min="12284" max="12284" width="7.5703125" style="231" customWidth="1"/>
    <col min="12285" max="12288" width="14.5703125" style="231" customWidth="1"/>
    <col min="12289" max="12296" width="14.42578125" style="231" customWidth="1"/>
    <col min="12297" max="12297" width="17.5703125" style="231" customWidth="1"/>
    <col min="12298" max="12298" width="16.85546875" style="231" customWidth="1"/>
    <col min="12299" max="12299" width="17.5703125" style="231" customWidth="1"/>
    <col min="12300" max="12301" width="5.5703125" style="231" customWidth="1"/>
    <col min="12302" max="12302" width="7.5703125" style="231" customWidth="1"/>
    <col min="12303" max="12314" width="14.5703125" style="231" customWidth="1"/>
    <col min="12315" max="12315" width="17.5703125" style="231" customWidth="1"/>
    <col min="12316" max="12316" width="16.85546875" style="231" customWidth="1"/>
    <col min="12317" max="12317" width="17.5703125" style="231" customWidth="1"/>
    <col min="12318" max="12318" width="17.7109375" style="231" customWidth="1"/>
    <col min="12319" max="12319" width="9.140625" style="231"/>
    <col min="12320" max="12320" width="16.5703125" style="231" customWidth="1"/>
    <col min="12321" max="12321" width="17.5703125" style="231" customWidth="1"/>
    <col min="12322" max="12322" width="5.5703125" style="231" customWidth="1"/>
    <col min="12323" max="12538" width="9.140625" style="231"/>
    <col min="12539" max="12539" width="5.5703125" style="231" customWidth="1"/>
    <col min="12540" max="12540" width="7.5703125" style="231" customWidth="1"/>
    <col min="12541" max="12544" width="14.5703125" style="231" customWidth="1"/>
    <col min="12545" max="12552" width="14.42578125" style="231" customWidth="1"/>
    <col min="12553" max="12553" width="17.5703125" style="231" customWidth="1"/>
    <col min="12554" max="12554" width="16.85546875" style="231" customWidth="1"/>
    <col min="12555" max="12555" width="17.5703125" style="231" customWidth="1"/>
    <col min="12556" max="12557" width="5.5703125" style="231" customWidth="1"/>
    <col min="12558" max="12558" width="7.5703125" style="231" customWidth="1"/>
    <col min="12559" max="12570" width="14.5703125" style="231" customWidth="1"/>
    <col min="12571" max="12571" width="17.5703125" style="231" customWidth="1"/>
    <col min="12572" max="12572" width="16.85546875" style="231" customWidth="1"/>
    <col min="12573" max="12573" width="17.5703125" style="231" customWidth="1"/>
    <col min="12574" max="12574" width="17.7109375" style="231" customWidth="1"/>
    <col min="12575" max="12575" width="9.140625" style="231"/>
    <col min="12576" max="12576" width="16.5703125" style="231" customWidth="1"/>
    <col min="12577" max="12577" width="17.5703125" style="231" customWidth="1"/>
    <col min="12578" max="12578" width="5.5703125" style="231" customWidth="1"/>
    <col min="12579" max="12794" width="9.140625" style="231"/>
    <col min="12795" max="12795" width="5.5703125" style="231" customWidth="1"/>
    <col min="12796" max="12796" width="7.5703125" style="231" customWidth="1"/>
    <col min="12797" max="12800" width="14.5703125" style="231" customWidth="1"/>
    <col min="12801" max="12808" width="14.42578125" style="231" customWidth="1"/>
    <col min="12809" max="12809" width="17.5703125" style="231" customWidth="1"/>
    <col min="12810" max="12810" width="16.85546875" style="231" customWidth="1"/>
    <col min="12811" max="12811" width="17.5703125" style="231" customWidth="1"/>
    <col min="12812" max="12813" width="5.5703125" style="231" customWidth="1"/>
    <col min="12814" max="12814" width="7.5703125" style="231" customWidth="1"/>
    <col min="12815" max="12826" width="14.5703125" style="231" customWidth="1"/>
    <col min="12827" max="12827" width="17.5703125" style="231" customWidth="1"/>
    <col min="12828" max="12828" width="16.85546875" style="231" customWidth="1"/>
    <col min="12829" max="12829" width="17.5703125" style="231" customWidth="1"/>
    <col min="12830" max="12830" width="17.7109375" style="231" customWidth="1"/>
    <col min="12831" max="12831" width="9.140625" style="231"/>
    <col min="12832" max="12832" width="16.5703125" style="231" customWidth="1"/>
    <col min="12833" max="12833" width="17.5703125" style="231" customWidth="1"/>
    <col min="12834" max="12834" width="5.5703125" style="231" customWidth="1"/>
    <col min="12835" max="13050" width="9.140625" style="231"/>
    <col min="13051" max="13051" width="5.5703125" style="231" customWidth="1"/>
    <col min="13052" max="13052" width="7.5703125" style="231" customWidth="1"/>
    <col min="13053" max="13056" width="14.5703125" style="231" customWidth="1"/>
    <col min="13057" max="13064" width="14.42578125" style="231" customWidth="1"/>
    <col min="13065" max="13065" width="17.5703125" style="231" customWidth="1"/>
    <col min="13066" max="13066" width="16.85546875" style="231" customWidth="1"/>
    <col min="13067" max="13067" width="17.5703125" style="231" customWidth="1"/>
    <col min="13068" max="13069" width="5.5703125" style="231" customWidth="1"/>
    <col min="13070" max="13070" width="7.5703125" style="231" customWidth="1"/>
    <col min="13071" max="13082" width="14.5703125" style="231" customWidth="1"/>
    <col min="13083" max="13083" width="17.5703125" style="231" customWidth="1"/>
    <col min="13084" max="13084" width="16.85546875" style="231" customWidth="1"/>
    <col min="13085" max="13085" width="17.5703125" style="231" customWidth="1"/>
    <col min="13086" max="13086" width="17.7109375" style="231" customWidth="1"/>
    <col min="13087" max="13087" width="9.140625" style="231"/>
    <col min="13088" max="13088" width="16.5703125" style="231" customWidth="1"/>
    <col min="13089" max="13089" width="17.5703125" style="231" customWidth="1"/>
    <col min="13090" max="13090" width="5.5703125" style="231" customWidth="1"/>
    <col min="13091" max="13306" width="9.140625" style="231"/>
    <col min="13307" max="13307" width="5.5703125" style="231" customWidth="1"/>
    <col min="13308" max="13308" width="7.5703125" style="231" customWidth="1"/>
    <col min="13309" max="13312" width="14.5703125" style="231" customWidth="1"/>
    <col min="13313" max="13320" width="14.42578125" style="231" customWidth="1"/>
    <col min="13321" max="13321" width="17.5703125" style="231" customWidth="1"/>
    <col min="13322" max="13322" width="16.85546875" style="231" customWidth="1"/>
    <col min="13323" max="13323" width="17.5703125" style="231" customWidth="1"/>
    <col min="13324" max="13325" width="5.5703125" style="231" customWidth="1"/>
    <col min="13326" max="13326" width="7.5703125" style="231" customWidth="1"/>
    <col min="13327" max="13338" width="14.5703125" style="231" customWidth="1"/>
    <col min="13339" max="13339" width="17.5703125" style="231" customWidth="1"/>
    <col min="13340" max="13340" width="16.85546875" style="231" customWidth="1"/>
    <col min="13341" max="13341" width="17.5703125" style="231" customWidth="1"/>
    <col min="13342" max="13342" width="17.7109375" style="231" customWidth="1"/>
    <col min="13343" max="13343" width="9.140625" style="231"/>
    <col min="13344" max="13344" width="16.5703125" style="231" customWidth="1"/>
    <col min="13345" max="13345" width="17.5703125" style="231" customWidth="1"/>
    <col min="13346" max="13346" width="5.5703125" style="231" customWidth="1"/>
    <col min="13347" max="13562" width="9.140625" style="231"/>
    <col min="13563" max="13563" width="5.5703125" style="231" customWidth="1"/>
    <col min="13564" max="13564" width="7.5703125" style="231" customWidth="1"/>
    <col min="13565" max="13568" width="14.5703125" style="231" customWidth="1"/>
    <col min="13569" max="13576" width="14.42578125" style="231" customWidth="1"/>
    <col min="13577" max="13577" width="17.5703125" style="231" customWidth="1"/>
    <col min="13578" max="13578" width="16.85546875" style="231" customWidth="1"/>
    <col min="13579" max="13579" width="17.5703125" style="231" customWidth="1"/>
    <col min="13580" max="13581" width="5.5703125" style="231" customWidth="1"/>
    <col min="13582" max="13582" width="7.5703125" style="231" customWidth="1"/>
    <col min="13583" max="13594" width="14.5703125" style="231" customWidth="1"/>
    <col min="13595" max="13595" width="17.5703125" style="231" customWidth="1"/>
    <col min="13596" max="13596" width="16.85546875" style="231" customWidth="1"/>
    <col min="13597" max="13597" width="17.5703125" style="231" customWidth="1"/>
    <col min="13598" max="13598" width="17.7109375" style="231" customWidth="1"/>
    <col min="13599" max="13599" width="9.140625" style="231"/>
    <col min="13600" max="13600" width="16.5703125" style="231" customWidth="1"/>
    <col min="13601" max="13601" width="17.5703125" style="231" customWidth="1"/>
    <col min="13602" max="13602" width="5.5703125" style="231" customWidth="1"/>
    <col min="13603" max="13818" width="9.140625" style="231"/>
    <col min="13819" max="13819" width="5.5703125" style="231" customWidth="1"/>
    <col min="13820" max="13820" width="7.5703125" style="231" customWidth="1"/>
    <col min="13821" max="13824" width="14.5703125" style="231" customWidth="1"/>
    <col min="13825" max="13832" width="14.42578125" style="231" customWidth="1"/>
    <col min="13833" max="13833" width="17.5703125" style="231" customWidth="1"/>
    <col min="13834" max="13834" width="16.85546875" style="231" customWidth="1"/>
    <col min="13835" max="13835" width="17.5703125" style="231" customWidth="1"/>
    <col min="13836" max="13837" width="5.5703125" style="231" customWidth="1"/>
    <col min="13838" max="13838" width="7.5703125" style="231" customWidth="1"/>
    <col min="13839" max="13850" width="14.5703125" style="231" customWidth="1"/>
    <col min="13851" max="13851" width="17.5703125" style="231" customWidth="1"/>
    <col min="13852" max="13852" width="16.85546875" style="231" customWidth="1"/>
    <col min="13853" max="13853" width="17.5703125" style="231" customWidth="1"/>
    <col min="13854" max="13854" width="17.7109375" style="231" customWidth="1"/>
    <col min="13855" max="13855" width="9.140625" style="231"/>
    <col min="13856" max="13856" width="16.5703125" style="231" customWidth="1"/>
    <col min="13857" max="13857" width="17.5703125" style="231" customWidth="1"/>
    <col min="13858" max="13858" width="5.5703125" style="231" customWidth="1"/>
    <col min="13859" max="14074" width="9.140625" style="231"/>
    <col min="14075" max="14075" width="5.5703125" style="231" customWidth="1"/>
    <col min="14076" max="14076" width="7.5703125" style="231" customWidth="1"/>
    <col min="14077" max="14080" width="14.5703125" style="231" customWidth="1"/>
    <col min="14081" max="14088" width="14.42578125" style="231" customWidth="1"/>
    <col min="14089" max="14089" width="17.5703125" style="231" customWidth="1"/>
    <col min="14090" max="14090" width="16.85546875" style="231" customWidth="1"/>
    <col min="14091" max="14091" width="17.5703125" style="231" customWidth="1"/>
    <col min="14092" max="14093" width="5.5703125" style="231" customWidth="1"/>
    <col min="14094" max="14094" width="7.5703125" style="231" customWidth="1"/>
    <col min="14095" max="14106" width="14.5703125" style="231" customWidth="1"/>
    <col min="14107" max="14107" width="17.5703125" style="231" customWidth="1"/>
    <col min="14108" max="14108" width="16.85546875" style="231" customWidth="1"/>
    <col min="14109" max="14109" width="17.5703125" style="231" customWidth="1"/>
    <col min="14110" max="14110" width="17.7109375" style="231" customWidth="1"/>
    <col min="14111" max="14111" width="9.140625" style="231"/>
    <col min="14112" max="14112" width="16.5703125" style="231" customWidth="1"/>
    <col min="14113" max="14113" width="17.5703125" style="231" customWidth="1"/>
    <col min="14114" max="14114" width="5.5703125" style="231" customWidth="1"/>
    <col min="14115" max="14330" width="9.140625" style="231"/>
    <col min="14331" max="14331" width="5.5703125" style="231" customWidth="1"/>
    <col min="14332" max="14332" width="7.5703125" style="231" customWidth="1"/>
    <col min="14333" max="14336" width="14.5703125" style="231" customWidth="1"/>
    <col min="14337" max="14344" width="14.42578125" style="231" customWidth="1"/>
    <col min="14345" max="14345" width="17.5703125" style="231" customWidth="1"/>
    <col min="14346" max="14346" width="16.85546875" style="231" customWidth="1"/>
    <col min="14347" max="14347" width="17.5703125" style="231" customWidth="1"/>
    <col min="14348" max="14349" width="5.5703125" style="231" customWidth="1"/>
    <col min="14350" max="14350" width="7.5703125" style="231" customWidth="1"/>
    <col min="14351" max="14362" width="14.5703125" style="231" customWidth="1"/>
    <col min="14363" max="14363" width="17.5703125" style="231" customWidth="1"/>
    <col min="14364" max="14364" width="16.85546875" style="231" customWidth="1"/>
    <col min="14365" max="14365" width="17.5703125" style="231" customWidth="1"/>
    <col min="14366" max="14366" width="17.7109375" style="231" customWidth="1"/>
    <col min="14367" max="14367" width="9.140625" style="231"/>
    <col min="14368" max="14368" width="16.5703125" style="231" customWidth="1"/>
    <col min="14369" max="14369" width="17.5703125" style="231" customWidth="1"/>
    <col min="14370" max="14370" width="5.5703125" style="231" customWidth="1"/>
    <col min="14371" max="14586" width="9.140625" style="231"/>
    <col min="14587" max="14587" width="5.5703125" style="231" customWidth="1"/>
    <col min="14588" max="14588" width="7.5703125" style="231" customWidth="1"/>
    <col min="14589" max="14592" width="14.5703125" style="231" customWidth="1"/>
    <col min="14593" max="14600" width="14.42578125" style="231" customWidth="1"/>
    <col min="14601" max="14601" width="17.5703125" style="231" customWidth="1"/>
    <col min="14602" max="14602" width="16.85546875" style="231" customWidth="1"/>
    <col min="14603" max="14603" width="17.5703125" style="231" customWidth="1"/>
    <col min="14604" max="14605" width="5.5703125" style="231" customWidth="1"/>
    <col min="14606" max="14606" width="7.5703125" style="231" customWidth="1"/>
    <col min="14607" max="14618" width="14.5703125" style="231" customWidth="1"/>
    <col min="14619" max="14619" width="17.5703125" style="231" customWidth="1"/>
    <col min="14620" max="14620" width="16.85546875" style="231" customWidth="1"/>
    <col min="14621" max="14621" width="17.5703125" style="231" customWidth="1"/>
    <col min="14622" max="14622" width="17.7109375" style="231" customWidth="1"/>
    <col min="14623" max="14623" width="9.140625" style="231"/>
    <col min="14624" max="14624" width="16.5703125" style="231" customWidth="1"/>
    <col min="14625" max="14625" width="17.5703125" style="231" customWidth="1"/>
    <col min="14626" max="14626" width="5.5703125" style="231" customWidth="1"/>
    <col min="14627" max="14842" width="9.140625" style="231"/>
    <col min="14843" max="14843" width="5.5703125" style="231" customWidth="1"/>
    <col min="14844" max="14844" width="7.5703125" style="231" customWidth="1"/>
    <col min="14845" max="14848" width="14.5703125" style="231" customWidth="1"/>
    <col min="14849" max="14856" width="14.42578125" style="231" customWidth="1"/>
    <col min="14857" max="14857" width="17.5703125" style="231" customWidth="1"/>
    <col min="14858" max="14858" width="16.85546875" style="231" customWidth="1"/>
    <col min="14859" max="14859" width="17.5703125" style="231" customWidth="1"/>
    <col min="14860" max="14861" width="5.5703125" style="231" customWidth="1"/>
    <col min="14862" max="14862" width="7.5703125" style="231" customWidth="1"/>
    <col min="14863" max="14874" width="14.5703125" style="231" customWidth="1"/>
    <col min="14875" max="14875" width="17.5703125" style="231" customWidth="1"/>
    <col min="14876" max="14876" width="16.85546875" style="231" customWidth="1"/>
    <col min="14877" max="14877" width="17.5703125" style="231" customWidth="1"/>
    <col min="14878" max="14878" width="17.7109375" style="231" customWidth="1"/>
    <col min="14879" max="14879" width="9.140625" style="231"/>
    <col min="14880" max="14880" width="16.5703125" style="231" customWidth="1"/>
    <col min="14881" max="14881" width="17.5703125" style="231" customWidth="1"/>
    <col min="14882" max="14882" width="5.5703125" style="231" customWidth="1"/>
    <col min="14883" max="15098" width="9.140625" style="231"/>
    <col min="15099" max="15099" width="5.5703125" style="231" customWidth="1"/>
    <col min="15100" max="15100" width="7.5703125" style="231" customWidth="1"/>
    <col min="15101" max="15104" width="14.5703125" style="231" customWidth="1"/>
    <col min="15105" max="15112" width="14.42578125" style="231" customWidth="1"/>
    <col min="15113" max="15113" width="17.5703125" style="231" customWidth="1"/>
    <col min="15114" max="15114" width="16.85546875" style="231" customWidth="1"/>
    <col min="15115" max="15115" width="17.5703125" style="231" customWidth="1"/>
    <col min="15116" max="15117" width="5.5703125" style="231" customWidth="1"/>
    <col min="15118" max="15118" width="7.5703125" style="231" customWidth="1"/>
    <col min="15119" max="15130" width="14.5703125" style="231" customWidth="1"/>
    <col min="15131" max="15131" width="17.5703125" style="231" customWidth="1"/>
    <col min="15132" max="15132" width="16.85546875" style="231" customWidth="1"/>
    <col min="15133" max="15133" width="17.5703125" style="231" customWidth="1"/>
    <col min="15134" max="15134" width="17.7109375" style="231" customWidth="1"/>
    <col min="15135" max="15135" width="9.140625" style="231"/>
    <col min="15136" max="15136" width="16.5703125" style="231" customWidth="1"/>
    <col min="15137" max="15137" width="17.5703125" style="231" customWidth="1"/>
    <col min="15138" max="15138" width="5.5703125" style="231" customWidth="1"/>
    <col min="15139" max="15354" width="9.140625" style="231"/>
    <col min="15355" max="15355" width="5.5703125" style="231" customWidth="1"/>
    <col min="15356" max="15356" width="7.5703125" style="231" customWidth="1"/>
    <col min="15357" max="15360" width="14.5703125" style="231" customWidth="1"/>
    <col min="15361" max="15368" width="14.42578125" style="231" customWidth="1"/>
    <col min="15369" max="15369" width="17.5703125" style="231" customWidth="1"/>
    <col min="15370" max="15370" width="16.85546875" style="231" customWidth="1"/>
    <col min="15371" max="15371" width="17.5703125" style="231" customWidth="1"/>
    <col min="15372" max="15373" width="5.5703125" style="231" customWidth="1"/>
    <col min="15374" max="15374" width="7.5703125" style="231" customWidth="1"/>
    <col min="15375" max="15386" width="14.5703125" style="231" customWidth="1"/>
    <col min="15387" max="15387" width="17.5703125" style="231" customWidth="1"/>
    <col min="15388" max="15388" width="16.85546875" style="231" customWidth="1"/>
    <col min="15389" max="15389" width="17.5703125" style="231" customWidth="1"/>
    <col min="15390" max="15390" width="17.7109375" style="231" customWidth="1"/>
    <col min="15391" max="15391" width="9.140625" style="231"/>
    <col min="15392" max="15392" width="16.5703125" style="231" customWidth="1"/>
    <col min="15393" max="15393" width="17.5703125" style="231" customWidth="1"/>
    <col min="15394" max="15394" width="5.5703125" style="231" customWidth="1"/>
    <col min="15395" max="15610" width="9.140625" style="231"/>
    <col min="15611" max="15611" width="5.5703125" style="231" customWidth="1"/>
    <col min="15612" max="15612" width="7.5703125" style="231" customWidth="1"/>
    <col min="15613" max="15616" width="14.5703125" style="231" customWidth="1"/>
    <col min="15617" max="15624" width="14.42578125" style="231" customWidth="1"/>
    <col min="15625" max="15625" width="17.5703125" style="231" customWidth="1"/>
    <col min="15626" max="15626" width="16.85546875" style="231" customWidth="1"/>
    <col min="15627" max="15627" width="17.5703125" style="231" customWidth="1"/>
    <col min="15628" max="15629" width="5.5703125" style="231" customWidth="1"/>
    <col min="15630" max="15630" width="7.5703125" style="231" customWidth="1"/>
    <col min="15631" max="15642" width="14.5703125" style="231" customWidth="1"/>
    <col min="15643" max="15643" width="17.5703125" style="231" customWidth="1"/>
    <col min="15644" max="15644" width="16.85546875" style="231" customWidth="1"/>
    <col min="15645" max="15645" width="17.5703125" style="231" customWidth="1"/>
    <col min="15646" max="15646" width="17.7109375" style="231" customWidth="1"/>
    <col min="15647" max="15647" width="9.140625" style="231"/>
    <col min="15648" max="15648" width="16.5703125" style="231" customWidth="1"/>
    <col min="15649" max="15649" width="17.5703125" style="231" customWidth="1"/>
    <col min="15650" max="15650" width="5.5703125" style="231" customWidth="1"/>
    <col min="15651" max="15866" width="9.140625" style="231"/>
    <col min="15867" max="15867" width="5.5703125" style="231" customWidth="1"/>
    <col min="15868" max="15868" width="7.5703125" style="231" customWidth="1"/>
    <col min="15869" max="15872" width="14.5703125" style="231" customWidth="1"/>
    <col min="15873" max="15880" width="14.42578125" style="231" customWidth="1"/>
    <col min="15881" max="15881" width="17.5703125" style="231" customWidth="1"/>
    <col min="15882" max="15882" width="16.85546875" style="231" customWidth="1"/>
    <col min="15883" max="15883" width="17.5703125" style="231" customWidth="1"/>
    <col min="15884" max="15885" width="5.5703125" style="231" customWidth="1"/>
    <col min="15886" max="15886" width="7.5703125" style="231" customWidth="1"/>
    <col min="15887" max="15898" width="14.5703125" style="231" customWidth="1"/>
    <col min="15899" max="15899" width="17.5703125" style="231" customWidth="1"/>
    <col min="15900" max="15900" width="16.85546875" style="231" customWidth="1"/>
    <col min="15901" max="15901" width="17.5703125" style="231" customWidth="1"/>
    <col min="15902" max="15902" width="17.7109375" style="231" customWidth="1"/>
    <col min="15903" max="15903" width="9.140625" style="231"/>
    <col min="15904" max="15904" width="16.5703125" style="231" customWidth="1"/>
    <col min="15905" max="15905" width="17.5703125" style="231" customWidth="1"/>
    <col min="15906" max="15906" width="5.5703125" style="231" customWidth="1"/>
    <col min="15907" max="16122" width="9.140625" style="231"/>
    <col min="16123" max="16123" width="5.5703125" style="231" customWidth="1"/>
    <col min="16124" max="16124" width="7.5703125" style="231" customWidth="1"/>
    <col min="16125" max="16128" width="14.5703125" style="231" customWidth="1"/>
    <col min="16129" max="16136" width="14.42578125" style="231" customWidth="1"/>
    <col min="16137" max="16137" width="17.5703125" style="231" customWidth="1"/>
    <col min="16138" max="16138" width="16.85546875" style="231" customWidth="1"/>
    <col min="16139" max="16139" width="17.5703125" style="231" customWidth="1"/>
    <col min="16140" max="16141" width="5.5703125" style="231" customWidth="1"/>
    <col min="16142" max="16142" width="7.5703125" style="231" customWidth="1"/>
    <col min="16143" max="16154" width="14.5703125" style="231" customWidth="1"/>
    <col min="16155" max="16155" width="17.5703125" style="231" customWidth="1"/>
    <col min="16156" max="16156" width="16.85546875" style="231" customWidth="1"/>
    <col min="16157" max="16157" width="17.5703125" style="231" customWidth="1"/>
    <col min="16158" max="16158" width="17.7109375" style="231" customWidth="1"/>
    <col min="16159" max="16159" width="9.140625" style="231"/>
    <col min="16160" max="16160" width="16.5703125" style="231" customWidth="1"/>
    <col min="16161" max="16161" width="17.5703125" style="231" customWidth="1"/>
    <col min="16162" max="16162" width="5.5703125" style="231" customWidth="1"/>
    <col min="16163" max="16384" width="9.140625" style="231"/>
  </cols>
  <sheetData>
    <row r="1" spans="1:32" ht="53.25" x14ac:dyDescent="1">
      <c r="B1" s="232" t="s">
        <v>114</v>
      </c>
      <c r="M1" s="233"/>
      <c r="AF1" s="233"/>
    </row>
    <row r="2" spans="1:32" ht="27.75" x14ac:dyDescent="0.25">
      <c r="B2" s="234" t="s">
        <v>36</v>
      </c>
      <c r="M2" s="235"/>
      <c r="N2" s="236" t="s">
        <v>119</v>
      </c>
      <c r="AF2" s="235"/>
    </row>
    <row r="3" spans="1:32" ht="27.75" x14ac:dyDescent="0.35">
      <c r="B3" s="235"/>
      <c r="M3" s="235"/>
      <c r="N3" s="237" t="s">
        <v>120</v>
      </c>
      <c r="O3" s="572">
        <v>0</v>
      </c>
      <c r="AF3" s="235"/>
    </row>
    <row r="4" spans="1:32" ht="27.75" x14ac:dyDescent="0.4">
      <c r="B4" s="78" t="s">
        <v>313</v>
      </c>
      <c r="C4" s="238"/>
      <c r="D4" s="238"/>
      <c r="E4" s="502" t="s">
        <v>311</v>
      </c>
      <c r="F4" s="238"/>
      <c r="G4" s="238"/>
      <c r="H4" s="238"/>
      <c r="I4" s="238"/>
      <c r="J4" s="238"/>
      <c r="K4" s="239"/>
      <c r="M4" s="235"/>
      <c r="N4" s="240" t="s">
        <v>168</v>
      </c>
      <c r="O4" s="573">
        <f>'2) Project Crash Data'!L32</f>
        <v>0</v>
      </c>
      <c r="AF4" s="235"/>
    </row>
    <row r="5" spans="1:32" ht="27.75" x14ac:dyDescent="0.35">
      <c r="B5" s="241"/>
      <c r="C5" s="242"/>
      <c r="D5" s="242"/>
      <c r="E5" s="242"/>
      <c r="F5" s="242"/>
      <c r="G5" s="242"/>
      <c r="H5" s="242"/>
      <c r="I5" s="242"/>
      <c r="J5" s="242"/>
      <c r="M5" s="235"/>
      <c r="N5" s="240" t="s">
        <v>171</v>
      </c>
      <c r="O5" s="574">
        <f>'2) Project Crash Data'!J37</f>
        <v>0</v>
      </c>
      <c r="AF5" s="235"/>
    </row>
    <row r="6" spans="1:32" ht="23.25" x14ac:dyDescent="0.35">
      <c r="B6" s="243"/>
      <c r="C6" s="243"/>
      <c r="D6" s="243"/>
      <c r="E6" s="243"/>
      <c r="F6" s="243"/>
      <c r="G6" s="243"/>
      <c r="H6" s="243"/>
      <c r="I6" s="243"/>
      <c r="J6" s="243"/>
    </row>
    <row r="7" spans="1:32" ht="30" customHeight="1" x14ac:dyDescent="0.25">
      <c r="A7" s="244"/>
      <c r="B7" s="245"/>
      <c r="C7" s="712" t="s">
        <v>37</v>
      </c>
      <c r="D7" s="712"/>
      <c r="E7" s="712"/>
      <c r="F7" s="712"/>
      <c r="G7" s="712"/>
      <c r="H7" s="246" t="s">
        <v>38</v>
      </c>
      <c r="I7" s="247" t="s">
        <v>38</v>
      </c>
      <c r="J7" s="246"/>
      <c r="K7" s="248"/>
    </row>
    <row r="8" spans="1:32" ht="30" customHeight="1" x14ac:dyDescent="0.25">
      <c r="A8" s="244"/>
      <c r="B8" s="249"/>
      <c r="C8" s="250"/>
      <c r="D8" s="250"/>
      <c r="E8" s="250"/>
      <c r="F8" s="250"/>
      <c r="G8" s="251"/>
      <c r="H8" s="252" t="s">
        <v>32</v>
      </c>
      <c r="I8" s="253" t="s">
        <v>32</v>
      </c>
      <c r="J8" s="252"/>
      <c r="K8" s="248"/>
    </row>
    <row r="9" spans="1:32" ht="30" customHeight="1" x14ac:dyDescent="0.35">
      <c r="A9" s="244"/>
      <c r="B9" s="254"/>
      <c r="C9" s="255" t="s">
        <v>40</v>
      </c>
      <c r="D9" s="255" t="s">
        <v>41</v>
      </c>
      <c r="E9" s="255"/>
      <c r="F9" s="255" t="s">
        <v>41</v>
      </c>
      <c r="G9" s="255"/>
      <c r="H9" s="252" t="s">
        <v>42</v>
      </c>
      <c r="I9" s="253" t="s">
        <v>42</v>
      </c>
      <c r="J9" s="504" t="s">
        <v>43</v>
      </c>
      <c r="K9" s="248"/>
    </row>
    <row r="10" spans="1:32" ht="30" customHeight="1" x14ac:dyDescent="0.25">
      <c r="A10" s="244"/>
      <c r="B10" s="256" t="s">
        <v>27</v>
      </c>
      <c r="C10" s="255" t="s">
        <v>44</v>
      </c>
      <c r="D10" s="255" t="s">
        <v>8</v>
      </c>
      <c r="E10" s="255" t="s">
        <v>80</v>
      </c>
      <c r="F10" s="255" t="s">
        <v>45</v>
      </c>
      <c r="G10" s="255" t="s">
        <v>30</v>
      </c>
      <c r="H10" s="252" t="s">
        <v>46</v>
      </c>
      <c r="I10" s="253" t="s">
        <v>39</v>
      </c>
      <c r="J10" s="252" t="s">
        <v>47</v>
      </c>
      <c r="K10" s="248"/>
    </row>
    <row r="11" spans="1:32" ht="30" customHeight="1" x14ac:dyDescent="0.25">
      <c r="A11" s="244"/>
      <c r="B11" s="257"/>
      <c r="C11" s="258" t="s">
        <v>49</v>
      </c>
      <c r="D11" s="258" t="s">
        <v>49</v>
      </c>
      <c r="E11" s="258" t="s">
        <v>50</v>
      </c>
      <c r="F11" s="258" t="s">
        <v>50</v>
      </c>
      <c r="G11" s="258" t="s">
        <v>33</v>
      </c>
      <c r="H11" s="259" t="s">
        <v>33</v>
      </c>
      <c r="I11" s="260" t="s">
        <v>51</v>
      </c>
      <c r="J11" s="259" t="s">
        <v>52</v>
      </c>
      <c r="K11" s="248"/>
    </row>
    <row r="12" spans="1:32" ht="30" customHeight="1" x14ac:dyDescent="0.35">
      <c r="A12" s="244"/>
      <c r="B12" s="261" t="s">
        <v>53</v>
      </c>
      <c r="C12" s="262"/>
      <c r="D12" s="263"/>
      <c r="E12" s="263"/>
      <c r="F12" s="263"/>
      <c r="G12" s="263"/>
      <c r="H12" s="263"/>
      <c r="I12" s="263"/>
      <c r="J12" s="263"/>
      <c r="K12" s="248"/>
    </row>
    <row r="13" spans="1:32" ht="30" customHeight="1" x14ac:dyDescent="0.35">
      <c r="A13" s="244"/>
      <c r="B13" s="264">
        <v>1</v>
      </c>
      <c r="C13" s="265"/>
      <c r="D13" s="266"/>
      <c r="E13" s="266"/>
      <c r="F13" s="266"/>
      <c r="G13" s="266"/>
      <c r="H13" s="267">
        <f>SUM(C13:G13)</f>
        <v>0</v>
      </c>
      <c r="I13" s="268">
        <f>'1) Project Information'!I43</f>
        <v>0</v>
      </c>
      <c r="J13" s="267">
        <f>H13-I13</f>
        <v>0</v>
      </c>
      <c r="K13" s="248"/>
    </row>
    <row r="14" spans="1:32" ht="30" customHeight="1" x14ac:dyDescent="0.35">
      <c r="A14" s="244"/>
      <c r="B14" s="269">
        <v>2</v>
      </c>
      <c r="C14" s="270"/>
      <c r="D14" s="271"/>
      <c r="E14" s="271"/>
      <c r="F14" s="271"/>
      <c r="G14" s="271"/>
      <c r="H14" s="272">
        <f t="shared" ref="H14:H20" si="0">SUM(C14:G14)</f>
        <v>0</v>
      </c>
      <c r="I14" s="273">
        <f>'1) Project Information'!I44</f>
        <v>0</v>
      </c>
      <c r="J14" s="272">
        <f t="shared" ref="J14:J20" si="1">H14-I14</f>
        <v>0</v>
      </c>
      <c r="K14" s="248"/>
    </row>
    <row r="15" spans="1:32" ht="30" customHeight="1" x14ac:dyDescent="0.35">
      <c r="A15" s="244"/>
      <c r="B15" s="269">
        <v>3</v>
      </c>
      <c r="C15" s="270"/>
      <c r="D15" s="271"/>
      <c r="E15" s="271"/>
      <c r="F15" s="271"/>
      <c r="G15" s="271"/>
      <c r="H15" s="272">
        <f t="shared" si="0"/>
        <v>0</v>
      </c>
      <c r="I15" s="273">
        <f>'1) Project Information'!I45</f>
        <v>0</v>
      </c>
      <c r="J15" s="272">
        <f t="shared" si="1"/>
        <v>0</v>
      </c>
      <c r="K15" s="248"/>
    </row>
    <row r="16" spans="1:32" ht="30" customHeight="1" x14ac:dyDescent="0.35">
      <c r="A16" s="244"/>
      <c r="B16" s="269">
        <v>4</v>
      </c>
      <c r="C16" s="270"/>
      <c r="D16" s="271"/>
      <c r="E16" s="271"/>
      <c r="F16" s="271"/>
      <c r="G16" s="271"/>
      <c r="H16" s="272">
        <f t="shared" si="0"/>
        <v>0</v>
      </c>
      <c r="I16" s="273">
        <f>'1) Project Information'!I46</f>
        <v>0</v>
      </c>
      <c r="J16" s="272">
        <f t="shared" si="1"/>
        <v>0</v>
      </c>
      <c r="K16" s="248"/>
    </row>
    <row r="17" spans="1:15" ht="30" customHeight="1" x14ac:dyDescent="0.35">
      <c r="A17" s="244"/>
      <c r="B17" s="269">
        <v>5</v>
      </c>
      <c r="C17" s="270"/>
      <c r="D17" s="271"/>
      <c r="E17" s="271"/>
      <c r="F17" s="271"/>
      <c r="G17" s="271"/>
      <c r="H17" s="272">
        <f t="shared" si="0"/>
        <v>0</v>
      </c>
      <c r="I17" s="273">
        <f>'1) Project Information'!I47</f>
        <v>0</v>
      </c>
      <c r="J17" s="272">
        <f t="shared" si="1"/>
        <v>0</v>
      </c>
      <c r="K17" s="248"/>
    </row>
    <row r="18" spans="1:15" ht="30" customHeight="1" x14ac:dyDescent="0.35">
      <c r="A18" s="244"/>
      <c r="B18" s="269">
        <v>6</v>
      </c>
      <c r="C18" s="270"/>
      <c r="D18" s="271"/>
      <c r="E18" s="271"/>
      <c r="F18" s="271"/>
      <c r="G18" s="271"/>
      <c r="H18" s="272">
        <f t="shared" si="0"/>
        <v>0</v>
      </c>
      <c r="I18" s="273">
        <f>'1) Project Information'!I48</f>
        <v>0</v>
      </c>
      <c r="J18" s="272">
        <f t="shared" si="1"/>
        <v>0</v>
      </c>
      <c r="K18" s="248"/>
    </row>
    <row r="19" spans="1:15" ht="30" customHeight="1" x14ac:dyDescent="0.35">
      <c r="A19" s="244"/>
      <c r="B19" s="269">
        <v>7</v>
      </c>
      <c r="C19" s="270"/>
      <c r="D19" s="271"/>
      <c r="E19" s="271"/>
      <c r="F19" s="271"/>
      <c r="G19" s="271"/>
      <c r="H19" s="272">
        <f t="shared" si="0"/>
        <v>0</v>
      </c>
      <c r="I19" s="273">
        <f>'1) Project Information'!I49</f>
        <v>0</v>
      </c>
      <c r="J19" s="272">
        <f t="shared" si="1"/>
        <v>0</v>
      </c>
      <c r="K19" s="248"/>
    </row>
    <row r="20" spans="1:15" ht="30" customHeight="1" x14ac:dyDescent="0.35">
      <c r="A20" s="244"/>
      <c r="B20" s="274">
        <v>8</v>
      </c>
      <c r="C20" s="275"/>
      <c r="D20" s="276"/>
      <c r="E20" s="276"/>
      <c r="F20" s="276"/>
      <c r="G20" s="276"/>
      <c r="H20" s="277">
        <f t="shared" si="0"/>
        <v>0</v>
      </c>
      <c r="I20" s="278">
        <f>'1) Project Information'!I50</f>
        <v>0</v>
      </c>
      <c r="J20" s="277">
        <f t="shared" si="1"/>
        <v>0</v>
      </c>
      <c r="K20" s="248"/>
    </row>
    <row r="21" spans="1:15" ht="30" customHeight="1" x14ac:dyDescent="0.35">
      <c r="A21" s="244"/>
      <c r="B21" s="261" t="s">
        <v>54</v>
      </c>
      <c r="C21" s="262"/>
      <c r="D21" s="263"/>
      <c r="E21" s="263"/>
      <c r="F21" s="263"/>
      <c r="G21" s="263"/>
      <c r="H21" s="263"/>
      <c r="I21" s="263"/>
      <c r="J21" s="263"/>
      <c r="K21" s="248"/>
    </row>
    <row r="22" spans="1:15" ht="30" customHeight="1" x14ac:dyDescent="0.35">
      <c r="A22" s="244"/>
      <c r="B22" s="279">
        <v>1</v>
      </c>
      <c r="C22" s="267">
        <f>IF(B22&lt;='1) Project Information'!D$14,(1/(1+'1) Project Information'!D$17)^(B22+'1) Project Information'!$D$15))*'Travel Time Benefits'!E$20,0)</f>
        <v>0</v>
      </c>
      <c r="D22" s="267">
        <f>IF(B22&lt;='1) Project Information'!D$14,(1/(1+'1) Project Information'!D$17)^(B22+'1) Project Information'!$D$15))*('Vehicle Operation Benefits'!E$18),0)</f>
        <v>0</v>
      </c>
      <c r="E22" s="267">
        <f>IF(B22&lt;='1) Project Information'!D$14,(1/(1+'1) Project Information'!D$17)^(B22+'1) Project Information'!$D$15))*'Crash Benefits'!E$67,0)</f>
        <v>0</v>
      </c>
      <c r="F22" s="267">
        <f>IF(B22&lt;='1) Project Information'!D$14,(1/(1+'1) Project Information'!D$17)^(B22+'1) Project Information'!$D$15))*'Emission Benefits'!J$25,0)</f>
        <v>0</v>
      </c>
      <c r="G22" s="267">
        <f>'Reliability Benefits'!C33</f>
        <v>0</v>
      </c>
      <c r="H22" s="280">
        <f>SUM(C22:G22)</f>
        <v>0</v>
      </c>
      <c r="I22" s="268">
        <f>'1) Project Information'!I52</f>
        <v>0</v>
      </c>
      <c r="J22" s="280">
        <f>H22-I22</f>
        <v>0</v>
      </c>
      <c r="K22" s="248"/>
      <c r="O22" s="281"/>
    </row>
    <row r="23" spans="1:15" ht="30" customHeight="1" x14ac:dyDescent="0.35">
      <c r="A23" s="244"/>
      <c r="B23" s="282">
        <v>2</v>
      </c>
      <c r="C23" s="267">
        <f>IF(B23&lt;='1) Project Information'!D$14,(1/(1+'1) Project Information'!D$17)^(B23+'1) Project Information'!$D$15))*'Travel Time Benefits'!E$20,0)</f>
        <v>0</v>
      </c>
      <c r="D23" s="267">
        <f>IF(B23&lt;='1) Project Information'!D$14,(1/(1+'1) Project Information'!D$17)^(B23+'1) Project Information'!$D$15))*('Vehicle Operation Benefits'!E$18),0)</f>
        <v>0</v>
      </c>
      <c r="E23" s="267">
        <f>IF(B23&lt;='1) Project Information'!D$14,(1/(1+'1) Project Information'!D$17)^(B23+'1) Project Information'!$D$15))*'Crash Benefits'!E$67,0)</f>
        <v>0</v>
      </c>
      <c r="F23" s="267">
        <f>IF(B23&lt;='1) Project Information'!D$14,(1/(1+'1) Project Information'!D$17)^(B23+'1) Project Information'!$D$15))*'Emission Benefits'!J$25,0)</f>
        <v>0</v>
      </c>
      <c r="G23" s="267">
        <f>IF(B23&lt;='1) Project Information'!$D$14,(1/(1+(IF('1) Project Information'!$E$17&gt;0,'1) Project Information'!$E$17,'1) Project Information'!$D$17)))^B23)*'Reliability Benefits'!$C$33,0)</f>
        <v>0</v>
      </c>
      <c r="H23" s="283">
        <f t="shared" ref="H23:H41" si="2">SUM(C23:G23)</f>
        <v>0</v>
      </c>
      <c r="I23" s="273">
        <f>'1) Project Information'!I53</f>
        <v>0</v>
      </c>
      <c r="J23" s="283">
        <f t="shared" ref="J23:J41" si="3">H23-I23</f>
        <v>0</v>
      </c>
      <c r="K23" s="248"/>
      <c r="O23" s="281"/>
    </row>
    <row r="24" spans="1:15" ht="30" customHeight="1" x14ac:dyDescent="0.35">
      <c r="A24" s="244"/>
      <c r="B24" s="282">
        <v>3</v>
      </c>
      <c r="C24" s="267">
        <f>IF(B24&lt;='1) Project Information'!D$14,(1/(1+'1) Project Information'!D$17)^(B24+'1) Project Information'!$D$15))*'Travel Time Benefits'!E$20,0)</f>
        <v>0</v>
      </c>
      <c r="D24" s="267">
        <f>IF(B24&lt;='1) Project Information'!D$14,(1/(1+'1) Project Information'!D$17)^(B24+'1) Project Information'!$D$15))*('Vehicle Operation Benefits'!E$18),0)</f>
        <v>0</v>
      </c>
      <c r="E24" s="267">
        <f>IF(B24&lt;='1) Project Information'!D$14,(1/(1+'1) Project Information'!D$17)^(B24+'1) Project Information'!$D$15))*'Crash Benefits'!E$67,0)</f>
        <v>0</v>
      </c>
      <c r="F24" s="267">
        <f>IF(B24&lt;='1) Project Information'!D$14,(1/(1+'1) Project Information'!D$17)^(B24+'1) Project Information'!$D$15))*'Emission Benefits'!J$25,0)</f>
        <v>0</v>
      </c>
      <c r="G24" s="267">
        <f>IF(B24&lt;='1) Project Information'!$D$14,(1/(1+(IF('1) Project Information'!$E$17&gt;0,'1) Project Information'!$E$17,'1) Project Information'!$D$17)))^B24)*'Reliability Benefits'!$C$33,0)</f>
        <v>0</v>
      </c>
      <c r="H24" s="283">
        <f t="shared" si="2"/>
        <v>0</v>
      </c>
      <c r="I24" s="273">
        <f>'1) Project Information'!I54</f>
        <v>0</v>
      </c>
      <c r="J24" s="283">
        <f t="shared" si="3"/>
        <v>0</v>
      </c>
      <c r="K24" s="248"/>
      <c r="O24" s="281"/>
    </row>
    <row r="25" spans="1:15" ht="30" customHeight="1" x14ac:dyDescent="0.35">
      <c r="A25" s="244"/>
      <c r="B25" s="282">
        <v>4</v>
      </c>
      <c r="C25" s="267">
        <f>IF(B25&lt;='1) Project Information'!D$14,(1/(1+'1) Project Information'!D$17)^(B25+'1) Project Information'!$D$15))*'Travel Time Benefits'!E$20,0)</f>
        <v>0</v>
      </c>
      <c r="D25" s="267">
        <f>IF(B25&lt;='1) Project Information'!D$14,(1/(1+'1) Project Information'!D$17)^(B25+'1) Project Information'!$D$15))*('Vehicle Operation Benefits'!E$18),0)</f>
        <v>0</v>
      </c>
      <c r="E25" s="267">
        <f>IF(B25&lt;='1) Project Information'!D$14,(1/(1+'1) Project Information'!D$17)^(B25+'1) Project Information'!$D$15))*'Crash Benefits'!E$67,0)</f>
        <v>0</v>
      </c>
      <c r="F25" s="267">
        <f>IF(B25&lt;='1) Project Information'!D$14,(1/(1+'1) Project Information'!D$17)^(B25+'1) Project Information'!$D$15))*'Emission Benefits'!J$25,0)</f>
        <v>0</v>
      </c>
      <c r="G25" s="267">
        <f>IF(B25&lt;='1) Project Information'!$D$14,(1/(1+(IF('1) Project Information'!$E$17&gt;0,'1) Project Information'!$E$17,'1) Project Information'!$D$17)))^B25)*'Reliability Benefits'!$C$33,0)</f>
        <v>0</v>
      </c>
      <c r="H25" s="283">
        <f t="shared" si="2"/>
        <v>0</v>
      </c>
      <c r="I25" s="273">
        <f>'1) Project Information'!I55</f>
        <v>0</v>
      </c>
      <c r="J25" s="283">
        <f t="shared" si="3"/>
        <v>0</v>
      </c>
      <c r="K25" s="248"/>
      <c r="O25" s="281"/>
    </row>
    <row r="26" spans="1:15" ht="30" customHeight="1" x14ac:dyDescent="0.35">
      <c r="A26" s="244"/>
      <c r="B26" s="282">
        <v>5</v>
      </c>
      <c r="C26" s="267">
        <f>IF(B26&lt;='1) Project Information'!D$14,(1/(1+'1) Project Information'!D$17)^(B26+'1) Project Information'!$D$15))*'Travel Time Benefits'!E$20,0)</f>
        <v>0</v>
      </c>
      <c r="D26" s="267">
        <f>IF(B26&lt;='1) Project Information'!D$14,(1/(1+'1) Project Information'!D$17)^(B26+'1) Project Information'!$D$15))*('Vehicle Operation Benefits'!E$18),0)</f>
        <v>0</v>
      </c>
      <c r="E26" s="267">
        <f>IF(B26&lt;='1) Project Information'!D$14,(1/(1+'1) Project Information'!D$17)^(B26+'1) Project Information'!$D$15))*'Crash Benefits'!E$67,0)</f>
        <v>0</v>
      </c>
      <c r="F26" s="267">
        <f>IF(B26&lt;='1) Project Information'!D$14,(1/(1+'1) Project Information'!D$17)^(B26+'1) Project Information'!$D$15))*'Emission Benefits'!J$25,0)</f>
        <v>0</v>
      </c>
      <c r="G26" s="267">
        <f>IF(B26&lt;='1) Project Information'!$D$14,(1/(1+(IF('1) Project Information'!$E$17&gt;0,'1) Project Information'!$E$17,'1) Project Information'!$D$17)))^B26)*'Reliability Benefits'!$C$33,0)</f>
        <v>0</v>
      </c>
      <c r="H26" s="283">
        <f t="shared" si="2"/>
        <v>0</v>
      </c>
      <c r="I26" s="273">
        <f>'1) Project Information'!I56</f>
        <v>0</v>
      </c>
      <c r="J26" s="283">
        <f t="shared" si="3"/>
        <v>0</v>
      </c>
      <c r="K26" s="248"/>
      <c r="O26" s="281"/>
    </row>
    <row r="27" spans="1:15" ht="30" customHeight="1" x14ac:dyDescent="0.35">
      <c r="A27" s="244"/>
      <c r="B27" s="282">
        <v>6</v>
      </c>
      <c r="C27" s="267">
        <f>IF(B27&lt;='1) Project Information'!D$14,(1/(1+'1) Project Information'!D$17)^(B27+'1) Project Information'!$D$15))*'Travel Time Benefits'!E$20,0)</f>
        <v>0</v>
      </c>
      <c r="D27" s="267">
        <f>IF(B27&lt;='1) Project Information'!D$14,(1/(1+'1) Project Information'!D$17)^(B27+'1) Project Information'!$D$15))*('Vehicle Operation Benefits'!E$18),0)</f>
        <v>0</v>
      </c>
      <c r="E27" s="267">
        <f>IF(B27&lt;='1) Project Information'!D$14,(1/(1+'1) Project Information'!D$17)^(B27+'1) Project Information'!$D$15))*'Crash Benefits'!E$67,0)</f>
        <v>0</v>
      </c>
      <c r="F27" s="267">
        <f>IF(B27&lt;='1) Project Information'!D$14,(1/(1+'1) Project Information'!D$17)^(B27+'1) Project Information'!$D$15))*'Emission Benefits'!J$25,0)</f>
        <v>0</v>
      </c>
      <c r="G27" s="267">
        <f>IF(B27&lt;='1) Project Information'!$D$14,(1/(1+(IF('1) Project Information'!$E$17&gt;0,'1) Project Information'!$E$17,'1) Project Information'!$D$17)))^B27)*'Reliability Benefits'!$C$33,0)</f>
        <v>0</v>
      </c>
      <c r="H27" s="283">
        <f t="shared" si="2"/>
        <v>0</v>
      </c>
      <c r="I27" s="273">
        <f>'1) Project Information'!I57</f>
        <v>0</v>
      </c>
      <c r="J27" s="283">
        <f t="shared" si="3"/>
        <v>0</v>
      </c>
      <c r="K27" s="248"/>
      <c r="O27" s="281"/>
    </row>
    <row r="28" spans="1:15" ht="30" customHeight="1" x14ac:dyDescent="0.35">
      <c r="A28" s="244"/>
      <c r="B28" s="282">
        <v>7</v>
      </c>
      <c r="C28" s="267">
        <f>IF(B28&lt;='1) Project Information'!D$14,(1/(1+'1) Project Information'!D$17)^(B28+'1) Project Information'!$D$15))*'Travel Time Benefits'!E$20,0)</f>
        <v>0</v>
      </c>
      <c r="D28" s="267">
        <f>IF(B28&lt;='1) Project Information'!D$14,(1/(1+'1) Project Information'!D$17)^(B28+'1) Project Information'!$D$15))*('Vehicle Operation Benefits'!E$18),0)</f>
        <v>0</v>
      </c>
      <c r="E28" s="267">
        <f>IF(B28&lt;='1) Project Information'!D$14,(1/(1+'1) Project Information'!D$17)^(B28+'1) Project Information'!$D$15))*'Crash Benefits'!E$67,0)</f>
        <v>0</v>
      </c>
      <c r="F28" s="267">
        <f>IF(B28&lt;='1) Project Information'!D$14,(1/(1+'1) Project Information'!D$17)^(B28+'1) Project Information'!$D$15))*'Emission Benefits'!J$25,0)</f>
        <v>0</v>
      </c>
      <c r="G28" s="267">
        <f>IF(B28&lt;='1) Project Information'!$D$14,(1/(1+(IF('1) Project Information'!$E$17&gt;0,'1) Project Information'!$E$17,'1) Project Information'!$D$17)))^B28)*'Reliability Benefits'!$C$33,0)</f>
        <v>0</v>
      </c>
      <c r="H28" s="283">
        <f t="shared" si="2"/>
        <v>0</v>
      </c>
      <c r="I28" s="273">
        <f>'1) Project Information'!I58</f>
        <v>0</v>
      </c>
      <c r="J28" s="283">
        <f t="shared" si="3"/>
        <v>0</v>
      </c>
      <c r="K28" s="248"/>
      <c r="O28" s="281"/>
    </row>
    <row r="29" spans="1:15" ht="30" customHeight="1" x14ac:dyDescent="0.35">
      <c r="A29" s="244"/>
      <c r="B29" s="282">
        <v>8</v>
      </c>
      <c r="C29" s="267">
        <f>IF(B29&lt;='1) Project Information'!D$14,(1/(1+'1) Project Information'!D$17)^(B29+'1) Project Information'!$D$15))*'Travel Time Benefits'!E$20,0)</f>
        <v>0</v>
      </c>
      <c r="D29" s="267">
        <f>IF(B29&lt;='1) Project Information'!D$14,(1/(1+'1) Project Information'!D$17)^(B29+'1) Project Information'!$D$15))*('Vehicle Operation Benefits'!E$18),0)</f>
        <v>0</v>
      </c>
      <c r="E29" s="267">
        <f>IF(B29&lt;='1) Project Information'!D$14,(1/(1+'1) Project Information'!D$17)^(B29+'1) Project Information'!$D$15))*'Crash Benefits'!E$67,0)</f>
        <v>0</v>
      </c>
      <c r="F29" s="267">
        <f>IF(B29&lt;='1) Project Information'!D$14,(1/(1+'1) Project Information'!D$17)^(B29+'1) Project Information'!$D$15))*'Emission Benefits'!J$25,0)</f>
        <v>0</v>
      </c>
      <c r="G29" s="267">
        <f>IF(B29&lt;='1) Project Information'!$D$14,(1/(1+(IF('1) Project Information'!$E$17&gt;0,'1) Project Information'!$E$17,'1) Project Information'!$D$17)))^B29)*'Reliability Benefits'!$C$33,0)</f>
        <v>0</v>
      </c>
      <c r="H29" s="283">
        <f t="shared" si="2"/>
        <v>0</v>
      </c>
      <c r="I29" s="273">
        <f>'1) Project Information'!I59</f>
        <v>0</v>
      </c>
      <c r="J29" s="283">
        <f t="shared" si="3"/>
        <v>0</v>
      </c>
      <c r="K29" s="248"/>
      <c r="O29" s="281"/>
    </row>
    <row r="30" spans="1:15" ht="30" customHeight="1" x14ac:dyDescent="0.35">
      <c r="A30" s="244"/>
      <c r="B30" s="282">
        <v>9</v>
      </c>
      <c r="C30" s="267">
        <f>IF(B30&lt;='1) Project Information'!D$14,(1/(1+'1) Project Information'!D$17)^(B30+'1) Project Information'!$D$15))*'Travel Time Benefits'!E$20,0)</f>
        <v>0</v>
      </c>
      <c r="D30" s="267">
        <f>IF(B30&lt;='1) Project Information'!D$14,(1/(1+'1) Project Information'!D$17)^(B30+'1) Project Information'!$D$15))*('Vehicle Operation Benefits'!E$18),0)</f>
        <v>0</v>
      </c>
      <c r="E30" s="267">
        <f>IF(B30&lt;='1) Project Information'!D$14,(1/(1+'1) Project Information'!D$17)^(B30+'1) Project Information'!$D$15))*'Crash Benefits'!E$67,0)</f>
        <v>0</v>
      </c>
      <c r="F30" s="267">
        <f>IF(B30&lt;='1) Project Information'!D$14,(1/(1+'1) Project Information'!D$17)^(B30+'1) Project Information'!$D$15))*'Emission Benefits'!J$25,0)</f>
        <v>0</v>
      </c>
      <c r="G30" s="267">
        <f>IF(B30&lt;='1) Project Information'!$D$14,(1/(1+(IF('1) Project Information'!$E$17&gt;0,'1) Project Information'!$E$17,'1) Project Information'!$D$17)))^B30)*'Reliability Benefits'!$C$33,0)</f>
        <v>0</v>
      </c>
      <c r="H30" s="283">
        <f t="shared" si="2"/>
        <v>0</v>
      </c>
      <c r="I30" s="273">
        <f>'1) Project Information'!I60</f>
        <v>0</v>
      </c>
      <c r="J30" s="283">
        <f t="shared" si="3"/>
        <v>0</v>
      </c>
      <c r="K30" s="248"/>
      <c r="O30" s="281"/>
    </row>
    <row r="31" spans="1:15" ht="30" customHeight="1" x14ac:dyDescent="0.35">
      <c r="A31" s="244"/>
      <c r="B31" s="282">
        <v>10</v>
      </c>
      <c r="C31" s="267">
        <f>IF(B31&lt;='1) Project Information'!D$14,(1/(1+'1) Project Information'!D$17)^(B31+'1) Project Information'!$D$15))*'Travel Time Benefits'!E$20,0)</f>
        <v>0</v>
      </c>
      <c r="D31" s="267">
        <f>IF(B31&lt;='1) Project Information'!D$14,(1/(1+'1) Project Information'!D$17)^(B31+'1) Project Information'!$D$15))*('Vehicle Operation Benefits'!E$18),0)</f>
        <v>0</v>
      </c>
      <c r="E31" s="267">
        <f>IF(B31&lt;='1) Project Information'!D$14,(1/(1+'1) Project Information'!D$17)^(B31+'1) Project Information'!$D$15))*'Crash Benefits'!E$67,0)</f>
        <v>0</v>
      </c>
      <c r="F31" s="267">
        <f>IF(B31&lt;='1) Project Information'!D$14,(1/(1+'1) Project Information'!D$17)^(B31+'1) Project Information'!$D$15))*'Emission Benefits'!J$25,0)</f>
        <v>0</v>
      </c>
      <c r="G31" s="267">
        <f>IF(B31&lt;='1) Project Information'!$D$14,(1/(1+(IF('1) Project Information'!$E$17&gt;0,'1) Project Information'!$E$17,'1) Project Information'!$D$17)))^B31)*'Reliability Benefits'!$C$33,0)</f>
        <v>0</v>
      </c>
      <c r="H31" s="283">
        <f t="shared" si="2"/>
        <v>0</v>
      </c>
      <c r="I31" s="273">
        <f>'1) Project Information'!I61</f>
        <v>0</v>
      </c>
      <c r="J31" s="283">
        <f t="shared" si="3"/>
        <v>0</v>
      </c>
      <c r="K31" s="248"/>
      <c r="O31" s="281"/>
    </row>
    <row r="32" spans="1:15" ht="30" customHeight="1" x14ac:dyDescent="0.35">
      <c r="A32" s="244"/>
      <c r="B32" s="282">
        <v>11</v>
      </c>
      <c r="C32" s="267">
        <f>IF(B32&lt;='1) Project Information'!D$14,(1/(1+'1) Project Information'!D$17)^(B32+'1) Project Information'!$D$15))*'Travel Time Benefits'!E$20,0)</f>
        <v>0</v>
      </c>
      <c r="D32" s="267">
        <f>IF(B32&lt;='1) Project Information'!D$14,(1/(1+'1) Project Information'!D$17)^(B32+'1) Project Information'!$D$15))*('Vehicle Operation Benefits'!E$18),0)</f>
        <v>0</v>
      </c>
      <c r="E32" s="267">
        <f>IF(B32&lt;='1) Project Information'!D$14,(1/(1+'1) Project Information'!D$17)^(B32+'1) Project Information'!$D$15))*'Crash Benefits'!E$67,0)</f>
        <v>0</v>
      </c>
      <c r="F32" s="267">
        <f>IF(B32&lt;='1) Project Information'!D$14,(1/(1+'1) Project Information'!D$17)^(B32+'1) Project Information'!$D$15))*'Emission Benefits'!J$25,0)</f>
        <v>0</v>
      </c>
      <c r="G32" s="267">
        <f>IF(B32&lt;='1) Project Information'!$D$14,(1/(1+(IF('1) Project Information'!$E$17&gt;0,'1) Project Information'!$E$17,'1) Project Information'!$D$17)))^B32)*'Reliability Benefits'!$C$33,0)</f>
        <v>0</v>
      </c>
      <c r="H32" s="283">
        <f t="shared" si="2"/>
        <v>0</v>
      </c>
      <c r="I32" s="273">
        <f>'1) Project Information'!I62</f>
        <v>0</v>
      </c>
      <c r="J32" s="283">
        <f t="shared" si="3"/>
        <v>0</v>
      </c>
      <c r="K32" s="248"/>
      <c r="O32" s="281"/>
    </row>
    <row r="33" spans="1:15" ht="30" customHeight="1" x14ac:dyDescent="0.35">
      <c r="A33" s="244"/>
      <c r="B33" s="282">
        <v>12</v>
      </c>
      <c r="C33" s="267">
        <f>IF(B33&lt;='1) Project Information'!D$14,(1/(1+'1) Project Information'!D$17)^(B33+'1) Project Information'!$D$15))*'Travel Time Benefits'!E$20,0)</f>
        <v>0</v>
      </c>
      <c r="D33" s="267">
        <f>IF(B33&lt;='1) Project Information'!D$14,(1/(1+'1) Project Information'!D$17)^(B33+'1) Project Information'!$D$15))*('Vehicle Operation Benefits'!E$18),0)</f>
        <v>0</v>
      </c>
      <c r="E33" s="267">
        <f>IF(B33&lt;='1) Project Information'!D$14,(1/(1+'1) Project Information'!D$17)^(B33+'1) Project Information'!$D$15))*'Crash Benefits'!E$67,0)</f>
        <v>0</v>
      </c>
      <c r="F33" s="267">
        <f>IF(B33&lt;='1) Project Information'!D$14,(1/(1+'1) Project Information'!D$17)^(B33+'1) Project Information'!$D$15))*'Emission Benefits'!J$25,0)</f>
        <v>0</v>
      </c>
      <c r="G33" s="267">
        <f>IF(B33&lt;='1) Project Information'!$D$14,(1/(1+(IF('1) Project Information'!$E$17&gt;0,'1) Project Information'!$E$17,'1) Project Information'!$D$17)))^B33)*'Reliability Benefits'!$C$33,0)</f>
        <v>0</v>
      </c>
      <c r="H33" s="283">
        <f t="shared" si="2"/>
        <v>0</v>
      </c>
      <c r="I33" s="273">
        <f>'1) Project Information'!I63</f>
        <v>0</v>
      </c>
      <c r="J33" s="283">
        <f t="shared" si="3"/>
        <v>0</v>
      </c>
      <c r="K33" s="248"/>
      <c r="O33" s="281"/>
    </row>
    <row r="34" spans="1:15" ht="30" customHeight="1" x14ac:dyDescent="0.35">
      <c r="A34" s="244"/>
      <c r="B34" s="282">
        <v>13</v>
      </c>
      <c r="C34" s="267">
        <f>IF(B34&lt;='1) Project Information'!D$14,(1/(1+'1) Project Information'!D$17)^(B34+'1) Project Information'!$D$15))*'Travel Time Benefits'!E$20,0)</f>
        <v>0</v>
      </c>
      <c r="D34" s="267">
        <f>IF(B34&lt;='1) Project Information'!D$14,(1/(1+'1) Project Information'!D$17)^(B34+'1) Project Information'!$D$15))*('Vehicle Operation Benefits'!E$18),0)</f>
        <v>0</v>
      </c>
      <c r="E34" s="267">
        <f>IF(B34&lt;='1) Project Information'!D$14,(1/(1+'1) Project Information'!D$17)^(B34+'1) Project Information'!$D$15))*'Crash Benefits'!E$67,0)</f>
        <v>0</v>
      </c>
      <c r="F34" s="267">
        <f>IF(B34&lt;='1) Project Information'!D$14,(1/(1+'1) Project Information'!D$17)^(B34+'1) Project Information'!$D$15))*'Emission Benefits'!J$25,0)</f>
        <v>0</v>
      </c>
      <c r="G34" s="267">
        <f>IF(B34&lt;='1) Project Information'!$D$14,(1/(1+(IF('1) Project Information'!$E$17&gt;0,'1) Project Information'!$E$17,'1) Project Information'!$D$17)))^B34)*'Reliability Benefits'!$C$33,0)</f>
        <v>0</v>
      </c>
      <c r="H34" s="283">
        <f t="shared" si="2"/>
        <v>0</v>
      </c>
      <c r="I34" s="273">
        <f>'1) Project Information'!I64</f>
        <v>0</v>
      </c>
      <c r="J34" s="283">
        <f t="shared" si="3"/>
        <v>0</v>
      </c>
      <c r="K34" s="248"/>
      <c r="O34" s="281"/>
    </row>
    <row r="35" spans="1:15" ht="30" customHeight="1" x14ac:dyDescent="0.35">
      <c r="A35" s="244"/>
      <c r="B35" s="282">
        <v>14</v>
      </c>
      <c r="C35" s="267">
        <f>IF(B35&lt;='1) Project Information'!D$14,(1/(1+'1) Project Information'!D$17)^(B35+'1) Project Information'!$D$15))*'Travel Time Benefits'!E$20,0)</f>
        <v>0</v>
      </c>
      <c r="D35" s="267">
        <f>IF(B35&lt;='1) Project Information'!D$14,(1/(1+'1) Project Information'!D$17)^(B35+'1) Project Information'!$D$15))*('Vehicle Operation Benefits'!E$18),0)</f>
        <v>0</v>
      </c>
      <c r="E35" s="267">
        <f>IF(B35&lt;='1) Project Information'!D$14,(1/(1+'1) Project Information'!D$17)^(B35+'1) Project Information'!$D$15))*'Crash Benefits'!E$67,0)</f>
        <v>0</v>
      </c>
      <c r="F35" s="267">
        <f>IF(B35&lt;='1) Project Information'!D$14,(1/(1+'1) Project Information'!D$17)^(B35+'1) Project Information'!$D$15))*'Emission Benefits'!J$25,0)</f>
        <v>0</v>
      </c>
      <c r="G35" s="267">
        <f>IF(B35&lt;='1) Project Information'!$D$14,(1/(1+(IF('1) Project Information'!$E$17&gt;0,'1) Project Information'!$E$17,'1) Project Information'!$D$17)))^B35)*'Reliability Benefits'!$C$33,0)</f>
        <v>0</v>
      </c>
      <c r="H35" s="283">
        <f t="shared" si="2"/>
        <v>0</v>
      </c>
      <c r="I35" s="273">
        <f>'1) Project Information'!I65</f>
        <v>0</v>
      </c>
      <c r="J35" s="283">
        <f t="shared" si="3"/>
        <v>0</v>
      </c>
      <c r="K35" s="248"/>
      <c r="O35" s="281"/>
    </row>
    <row r="36" spans="1:15" ht="30" customHeight="1" x14ac:dyDescent="0.35">
      <c r="A36" s="244"/>
      <c r="B36" s="282">
        <v>15</v>
      </c>
      <c r="C36" s="267">
        <f>IF(B36&lt;='1) Project Information'!D$14,(1/(1+'1) Project Information'!D$17)^(B36+'1) Project Information'!$D$15))*'Travel Time Benefits'!E$20,0)</f>
        <v>0</v>
      </c>
      <c r="D36" s="267">
        <f>IF(B36&lt;='1) Project Information'!D$14,(1/(1+'1) Project Information'!D$17)^(B36+'1) Project Information'!$D$15))*('Vehicle Operation Benefits'!E$18),0)</f>
        <v>0</v>
      </c>
      <c r="E36" s="267">
        <f>IF(B36&lt;='1) Project Information'!D$14,(1/(1+'1) Project Information'!D$17)^(B36+'1) Project Information'!$D$15))*'Crash Benefits'!E$67,0)</f>
        <v>0</v>
      </c>
      <c r="F36" s="267">
        <f>IF(B36&lt;='1) Project Information'!D$14,(1/(1+'1) Project Information'!D$17)^(B36+'1) Project Information'!$D$15))*'Emission Benefits'!J$25,0)</f>
        <v>0</v>
      </c>
      <c r="G36" s="267">
        <f>IF(B36&lt;='1) Project Information'!$D$14,(1/(1+(IF('1) Project Information'!$E$17&gt;0,'1) Project Information'!$E$17,'1) Project Information'!$D$17)))^B36)*'Reliability Benefits'!$C$33,0)</f>
        <v>0</v>
      </c>
      <c r="H36" s="283">
        <f t="shared" si="2"/>
        <v>0</v>
      </c>
      <c r="I36" s="273">
        <f>'1) Project Information'!I66</f>
        <v>0</v>
      </c>
      <c r="J36" s="283">
        <f t="shared" si="3"/>
        <v>0</v>
      </c>
      <c r="K36" s="248"/>
      <c r="O36" s="281"/>
    </row>
    <row r="37" spans="1:15" ht="30" customHeight="1" x14ac:dyDescent="0.35">
      <c r="A37" s="244"/>
      <c r="B37" s="282">
        <v>16</v>
      </c>
      <c r="C37" s="267">
        <f>IF(B37&lt;='1) Project Information'!D$14,(1/(1+'1) Project Information'!D$17)^(B37+'1) Project Information'!$D$15))*'Travel Time Benefits'!E$20,0)</f>
        <v>0</v>
      </c>
      <c r="D37" s="267">
        <f>IF(B37&lt;='1) Project Information'!D$14,(1/(1+'1) Project Information'!D$17)^(B37+'1) Project Information'!$D$15))*('Vehicle Operation Benefits'!E$18),0)</f>
        <v>0</v>
      </c>
      <c r="E37" s="267">
        <f>IF(B37&lt;='1) Project Information'!D$14,(1/(1+'1) Project Information'!D$17)^(B37+'1) Project Information'!$D$15))*'Crash Benefits'!E$67,0)</f>
        <v>0</v>
      </c>
      <c r="F37" s="267">
        <f>IF(B37&lt;='1) Project Information'!D$14,(1/(1+'1) Project Information'!D$17)^(B37+'1) Project Information'!$D$15))*'Emission Benefits'!J$25,0)</f>
        <v>0</v>
      </c>
      <c r="G37" s="267">
        <f>IF(B37&lt;='1) Project Information'!$D$14,(1/(1+(IF('1) Project Information'!$E$17&gt;0,'1) Project Information'!$E$17,'1) Project Information'!$D$17)))^B37)*'Reliability Benefits'!$C$33,0)</f>
        <v>0</v>
      </c>
      <c r="H37" s="283">
        <f t="shared" si="2"/>
        <v>0</v>
      </c>
      <c r="I37" s="273">
        <f>'1) Project Information'!I67</f>
        <v>0</v>
      </c>
      <c r="J37" s="283">
        <f t="shared" si="3"/>
        <v>0</v>
      </c>
      <c r="K37" s="248"/>
      <c r="O37" s="281"/>
    </row>
    <row r="38" spans="1:15" ht="30" customHeight="1" x14ac:dyDescent="0.35">
      <c r="A38" s="244"/>
      <c r="B38" s="282">
        <v>17</v>
      </c>
      <c r="C38" s="267">
        <f>IF(B38&lt;='1) Project Information'!D$14,(1/(1+'1) Project Information'!D$17)^(B38+'1) Project Information'!$D$15))*'Travel Time Benefits'!E$20,0)</f>
        <v>0</v>
      </c>
      <c r="D38" s="267">
        <f>IF(B38&lt;='1) Project Information'!D$14,(1/(1+'1) Project Information'!D$17)^(B38+'1) Project Information'!$D$15))*('Vehicle Operation Benefits'!E$18),0)</f>
        <v>0</v>
      </c>
      <c r="E38" s="267">
        <f>IF(B38&lt;='1) Project Information'!D$14,(1/(1+'1) Project Information'!D$17)^(B38+'1) Project Information'!$D$15))*'Crash Benefits'!E$67,0)</f>
        <v>0</v>
      </c>
      <c r="F38" s="267">
        <f>IF(B38&lt;='1) Project Information'!D$14,(1/(1+'1) Project Information'!D$17)^(B38+'1) Project Information'!$D$15))*'Emission Benefits'!J$25,0)</f>
        <v>0</v>
      </c>
      <c r="G38" s="267">
        <f>IF(B38&lt;='1) Project Information'!$D$14,(1/(1+(IF('1) Project Information'!$E$17&gt;0,'1) Project Information'!$E$17,'1) Project Information'!$D$17)))^B38)*'Reliability Benefits'!$C$33,0)</f>
        <v>0</v>
      </c>
      <c r="H38" s="283">
        <f t="shared" si="2"/>
        <v>0</v>
      </c>
      <c r="I38" s="273">
        <f>'1) Project Information'!I68</f>
        <v>0</v>
      </c>
      <c r="J38" s="283">
        <f t="shared" si="3"/>
        <v>0</v>
      </c>
      <c r="K38" s="248"/>
      <c r="O38" s="281"/>
    </row>
    <row r="39" spans="1:15" ht="30" customHeight="1" x14ac:dyDescent="0.35">
      <c r="A39" s="244"/>
      <c r="B39" s="282">
        <v>18</v>
      </c>
      <c r="C39" s="267">
        <f>IF(B39&lt;='1) Project Information'!D$14,(1/(1+'1) Project Information'!D$17)^(B39+'1) Project Information'!$D$15))*'Travel Time Benefits'!E$20,0)</f>
        <v>0</v>
      </c>
      <c r="D39" s="267">
        <f>IF(B39&lt;='1) Project Information'!D$14,(1/(1+'1) Project Information'!D$17)^(B39+'1) Project Information'!$D$15))*('Vehicle Operation Benefits'!E$18),0)</f>
        <v>0</v>
      </c>
      <c r="E39" s="267">
        <f>IF(B39&lt;='1) Project Information'!D$14,(1/(1+'1) Project Information'!D$17)^(B39+'1) Project Information'!$D$15))*'Crash Benefits'!E$67,0)</f>
        <v>0</v>
      </c>
      <c r="F39" s="267">
        <f>IF(B39&lt;='1) Project Information'!D$14,(1/(1+'1) Project Information'!D$17)^(B39+'1) Project Information'!$D$15))*'Emission Benefits'!J$25,0)</f>
        <v>0</v>
      </c>
      <c r="G39" s="267">
        <f>IF(B39&lt;='1) Project Information'!$D$14,(1/(1+(IF('1) Project Information'!$E$17&gt;0,'1) Project Information'!$E$17,'1) Project Information'!$D$17)))^B39)*'Reliability Benefits'!$C$33,0)</f>
        <v>0</v>
      </c>
      <c r="H39" s="283">
        <f t="shared" si="2"/>
        <v>0</v>
      </c>
      <c r="I39" s="273">
        <f>'1) Project Information'!I69</f>
        <v>0</v>
      </c>
      <c r="J39" s="283">
        <f t="shared" si="3"/>
        <v>0</v>
      </c>
      <c r="K39" s="248"/>
      <c r="O39" s="281"/>
    </row>
    <row r="40" spans="1:15" ht="30" customHeight="1" x14ac:dyDescent="0.35">
      <c r="A40" s="244"/>
      <c r="B40" s="282">
        <v>19</v>
      </c>
      <c r="C40" s="267">
        <f>IF(B40&lt;='1) Project Information'!D$14,(1/(1+'1) Project Information'!D$17)^(B40+'1) Project Information'!$D$15))*'Travel Time Benefits'!E$20,0)</f>
        <v>0</v>
      </c>
      <c r="D40" s="267">
        <f>IF(B40&lt;='1) Project Information'!D$14,(1/(1+'1) Project Information'!D$17)^(B40+'1) Project Information'!$D$15))*('Vehicle Operation Benefits'!E$18),0)</f>
        <v>0</v>
      </c>
      <c r="E40" s="267">
        <f>IF(B40&lt;='1) Project Information'!D$14,(1/(1+'1) Project Information'!D$17)^(B40+'1) Project Information'!$D$15))*'Crash Benefits'!E$67,0)</f>
        <v>0</v>
      </c>
      <c r="F40" s="267">
        <f>IF(B40&lt;='1) Project Information'!D$14,(1/(1+'1) Project Information'!D$17)^(B40+'1) Project Information'!$D$15))*'Emission Benefits'!J$25,0)</f>
        <v>0</v>
      </c>
      <c r="G40" s="267">
        <f>IF(B40&lt;='1) Project Information'!$D$14,(1/(1+(IF('1) Project Information'!$E$17&gt;0,'1) Project Information'!$E$17,'1) Project Information'!$D$17)))^B40)*'Reliability Benefits'!$C$33,0)</f>
        <v>0</v>
      </c>
      <c r="H40" s="283">
        <f t="shared" si="2"/>
        <v>0</v>
      </c>
      <c r="I40" s="273">
        <f>'1) Project Information'!I70</f>
        <v>0</v>
      </c>
      <c r="J40" s="283">
        <f t="shared" si="3"/>
        <v>0</v>
      </c>
      <c r="K40" s="248"/>
      <c r="O40" s="281"/>
    </row>
    <row r="41" spans="1:15" ht="30" customHeight="1" x14ac:dyDescent="0.35">
      <c r="A41" s="244"/>
      <c r="B41" s="282">
        <v>20</v>
      </c>
      <c r="C41" s="267">
        <f>IF(B41&lt;='1) Project Information'!D$14,(1/(1+'1) Project Information'!D$17)^(B41+'1) Project Information'!$D$15))*'Travel Time Benefits'!E$20,0)</f>
        <v>0</v>
      </c>
      <c r="D41" s="267">
        <f>IF(B41&lt;='1) Project Information'!D$14,(1/(1+'1) Project Information'!D$17)^(B41+'1) Project Information'!$D$15))*('Vehicle Operation Benefits'!E$18),0)</f>
        <v>0</v>
      </c>
      <c r="E41" s="267">
        <f>IF(B41&lt;='1) Project Information'!D$14,(1/(1+'1) Project Information'!D$17)^(B41+'1) Project Information'!$D$15))*'Crash Benefits'!E$67,0)</f>
        <v>0</v>
      </c>
      <c r="F41" s="267">
        <f>IF(B41&lt;='1) Project Information'!D$14,(1/(1+'1) Project Information'!D$17)^(B41+'1) Project Information'!$D$15))*'Emission Benefits'!J$25,0)</f>
        <v>0</v>
      </c>
      <c r="G41" s="267">
        <f>IF(B41&lt;='1) Project Information'!$D$14,(1/(1+(IF('1) Project Information'!$E$17&gt;0,'1) Project Information'!$E$17,'1) Project Information'!$D$17)))^B41)*'Reliability Benefits'!$C$33,0)</f>
        <v>0</v>
      </c>
      <c r="H41" s="283">
        <f t="shared" si="2"/>
        <v>0</v>
      </c>
      <c r="I41" s="273">
        <f>'1) Project Information'!I71</f>
        <v>0</v>
      </c>
      <c r="J41" s="283">
        <f t="shared" si="3"/>
        <v>0</v>
      </c>
      <c r="K41" s="248"/>
      <c r="O41" s="281"/>
    </row>
    <row r="42" spans="1:15" ht="30" customHeight="1" x14ac:dyDescent="0.35">
      <c r="A42" s="244"/>
      <c r="B42" s="282">
        <v>21</v>
      </c>
      <c r="C42" s="267">
        <f>IF(B42&lt;='1) Project Information'!D$14,(1/(1+'1) Project Information'!D$17)^(B42+'1) Project Information'!$D$15))*'Travel Time Benefits'!E$20,0)</f>
        <v>0</v>
      </c>
      <c r="D42" s="267">
        <f>IF(B42&lt;='1) Project Information'!D$14,(1/(1+'1) Project Information'!D$17)^(B42+'1) Project Information'!$D$15))*('Vehicle Operation Benefits'!E$18),0)</f>
        <v>0</v>
      </c>
      <c r="E42" s="267">
        <f>IF(B42&lt;='1) Project Information'!D$14,(1/(1+'1) Project Information'!D$17)^(B42+'1) Project Information'!$D$15))*'Crash Benefits'!E$67,0)</f>
        <v>0</v>
      </c>
      <c r="F42" s="267">
        <f>IF(B42&lt;='1) Project Information'!D$14,(1/(1+'1) Project Information'!D$17)^(B42+'1) Project Information'!$D$15))*'Emission Benefits'!J$25,0)</f>
        <v>0</v>
      </c>
      <c r="G42" s="267">
        <f>IF(B42&lt;='1) Project Information'!$D$14,(1/(1+(IF('1) Project Information'!$E$17&gt;0,'1) Project Information'!$E$17,'1) Project Information'!$D$17)))^B42)*'Reliability Benefits'!$C$33,0)</f>
        <v>0</v>
      </c>
      <c r="H42" s="283">
        <f t="shared" ref="H42:H71" si="4">SUM(C42:G42)</f>
        <v>0</v>
      </c>
      <c r="I42" s="273">
        <f>'1) Project Information'!I72</f>
        <v>0</v>
      </c>
      <c r="J42" s="283">
        <f t="shared" ref="J42:J71" si="5">H42-I42</f>
        <v>0</v>
      </c>
      <c r="K42" s="248"/>
    </row>
    <row r="43" spans="1:15" ht="30" customHeight="1" x14ac:dyDescent="0.35">
      <c r="A43" s="244"/>
      <c r="B43" s="282">
        <v>22</v>
      </c>
      <c r="C43" s="267">
        <f>IF(B43&lt;='1) Project Information'!D$14,(1/(1+'1) Project Information'!D$17)^(B43+'1) Project Information'!$D$15))*'Travel Time Benefits'!E$20,0)</f>
        <v>0</v>
      </c>
      <c r="D43" s="267">
        <f>IF(B43&lt;='1) Project Information'!D$14,(1/(1+'1) Project Information'!D$17)^(B43+'1) Project Information'!$D$15))*('Vehicle Operation Benefits'!E$18),0)</f>
        <v>0</v>
      </c>
      <c r="E43" s="267">
        <f>IF(B43&lt;='1) Project Information'!D$14,(1/(1+'1) Project Information'!D$17)^(B43+'1) Project Information'!$D$15))*'Crash Benefits'!E$67,0)</f>
        <v>0</v>
      </c>
      <c r="F43" s="267">
        <f>IF(B43&lt;='1) Project Information'!D$14,(1/(1+'1) Project Information'!D$17)^(B43+'1) Project Information'!$D$15))*'Emission Benefits'!J$25,0)</f>
        <v>0</v>
      </c>
      <c r="G43" s="267">
        <f>IF(B43&lt;='1) Project Information'!$D$14,(1/(1+(IF('1) Project Information'!$E$17&gt;0,'1) Project Information'!$E$17,'1) Project Information'!$D$17)))^B43)*'Reliability Benefits'!$C$33,0)</f>
        <v>0</v>
      </c>
      <c r="H43" s="283">
        <f t="shared" si="4"/>
        <v>0</v>
      </c>
      <c r="I43" s="273">
        <f>'1) Project Information'!I73</f>
        <v>0</v>
      </c>
      <c r="J43" s="283">
        <f t="shared" si="5"/>
        <v>0</v>
      </c>
      <c r="K43" s="248"/>
    </row>
    <row r="44" spans="1:15" ht="30" customHeight="1" x14ac:dyDescent="0.35">
      <c r="A44" s="244"/>
      <c r="B44" s="282">
        <v>23</v>
      </c>
      <c r="C44" s="267">
        <f>IF(B44&lt;='1) Project Information'!D$14,(1/(1+'1) Project Information'!D$17)^(B44+'1) Project Information'!$D$15))*'Travel Time Benefits'!E$20,0)</f>
        <v>0</v>
      </c>
      <c r="D44" s="267">
        <f>IF(B44&lt;='1) Project Information'!D$14,(1/(1+'1) Project Information'!D$17)^(B44+'1) Project Information'!$D$15))*('Vehicle Operation Benefits'!E$18),0)</f>
        <v>0</v>
      </c>
      <c r="E44" s="267">
        <f>IF(B44&lt;='1) Project Information'!D$14,(1/(1+'1) Project Information'!D$17)^(B44+'1) Project Information'!$D$15))*'Crash Benefits'!E$67,0)</f>
        <v>0</v>
      </c>
      <c r="F44" s="267">
        <f>IF(B44&lt;='1) Project Information'!D$14,(1/(1+'1) Project Information'!D$17)^(B44+'1) Project Information'!$D$15))*'Emission Benefits'!J$25,0)</f>
        <v>0</v>
      </c>
      <c r="G44" s="267">
        <f>IF(B44&lt;='1) Project Information'!$D$14,(1/(1+(IF('1) Project Information'!$E$17&gt;0,'1) Project Information'!$E$17,'1) Project Information'!$D$17)))^B44)*'Reliability Benefits'!$C$33,0)</f>
        <v>0</v>
      </c>
      <c r="H44" s="283">
        <f t="shared" si="4"/>
        <v>0</v>
      </c>
      <c r="I44" s="273">
        <f>'1) Project Information'!I74</f>
        <v>0</v>
      </c>
      <c r="J44" s="283">
        <f t="shared" si="5"/>
        <v>0</v>
      </c>
      <c r="K44" s="248"/>
    </row>
    <row r="45" spans="1:15" ht="30" customHeight="1" x14ac:dyDescent="0.35">
      <c r="A45" s="244"/>
      <c r="B45" s="282">
        <v>24</v>
      </c>
      <c r="C45" s="267">
        <f>IF(B45&lt;='1) Project Information'!D$14,(1/(1+'1) Project Information'!D$17)^B45)*'Travel Time Benefits'!E$20,0)</f>
        <v>0</v>
      </c>
      <c r="D45" s="267">
        <f>IF(B45&lt;='1) Project Information'!D$14,(1/(1+'1) Project Information'!D$17)^(B45+'1) Project Information'!$D$15))*('Vehicle Operation Benefits'!E$18),0)</f>
        <v>0</v>
      </c>
      <c r="E45" s="267">
        <f>IF(B45&lt;='1) Project Information'!D$14,(1/(1+'1) Project Information'!D$17)^(B45+'1) Project Information'!$D$15))*'Crash Benefits'!E$67,0)</f>
        <v>0</v>
      </c>
      <c r="F45" s="267">
        <f>IF(B45&lt;='1) Project Information'!D$14,(1/(1+'1) Project Information'!D$17)^(B45+'1) Project Information'!$D$15))*'Emission Benefits'!J$25,0)</f>
        <v>0</v>
      </c>
      <c r="G45" s="267">
        <f>IF(B45&lt;='1) Project Information'!$D$14,(1/(1+(IF('1) Project Information'!$E$17&gt;0,'1) Project Information'!$E$17,'1) Project Information'!$D$17)))^B45)*'Reliability Benefits'!$C$33,0)</f>
        <v>0</v>
      </c>
      <c r="H45" s="283">
        <f t="shared" si="4"/>
        <v>0</v>
      </c>
      <c r="I45" s="273">
        <f>'1) Project Information'!I75</f>
        <v>0</v>
      </c>
      <c r="J45" s="283">
        <f t="shared" si="5"/>
        <v>0</v>
      </c>
      <c r="K45" s="248"/>
    </row>
    <row r="46" spans="1:15" ht="30" customHeight="1" x14ac:dyDescent="0.35">
      <c r="A46" s="244"/>
      <c r="B46" s="282">
        <v>25</v>
      </c>
      <c r="C46" s="267">
        <f>IF(B46&lt;='1) Project Information'!D$14,(1/(1+'1) Project Information'!D$17)^B46)*'Travel Time Benefits'!E$20,0)</f>
        <v>0</v>
      </c>
      <c r="D46" s="267">
        <f>IF(B46&lt;='1) Project Information'!D$14,(1/(1+'1) Project Information'!D$17)^(B46+'1) Project Information'!$D$15))*('Vehicle Operation Benefits'!E$18),0)</f>
        <v>0</v>
      </c>
      <c r="E46" s="267">
        <f>IF(B46&lt;='1) Project Information'!D$14,(1/(1+'1) Project Information'!D$17)^(B46+'1) Project Information'!$D$15))*'Crash Benefits'!E$67,0)</f>
        <v>0</v>
      </c>
      <c r="F46" s="267">
        <f>IF(B46&lt;='1) Project Information'!D$14,(1/(1+'1) Project Information'!D$17)^(B46+'1) Project Information'!$D$15))*'Emission Benefits'!J$25,0)</f>
        <v>0</v>
      </c>
      <c r="G46" s="267">
        <f>IF(B46&lt;='1) Project Information'!$D$14,(1/(1+(IF('1) Project Information'!$E$17&gt;0,'1) Project Information'!$E$17,'1) Project Information'!$D$17)))^B46)*'Reliability Benefits'!$C$33,0)</f>
        <v>0</v>
      </c>
      <c r="H46" s="283">
        <f t="shared" si="4"/>
        <v>0</v>
      </c>
      <c r="I46" s="273">
        <f>'1) Project Information'!I76</f>
        <v>0</v>
      </c>
      <c r="J46" s="283">
        <f t="shared" si="5"/>
        <v>0</v>
      </c>
      <c r="K46" s="248"/>
    </row>
    <row r="47" spans="1:15" ht="30" customHeight="1" x14ac:dyDescent="0.35">
      <c r="A47" s="244"/>
      <c r="B47" s="282">
        <v>26</v>
      </c>
      <c r="C47" s="267">
        <f>IF(B47&lt;='1) Project Information'!D$14,(1/(1+'1) Project Information'!D$17)^B47)*'Travel Time Benefits'!E$20,0)</f>
        <v>0</v>
      </c>
      <c r="D47" s="267">
        <f>IF(B47&lt;='1) Project Information'!D$14,(1/(1+'1) Project Information'!D$17)^(B47+'1) Project Information'!$D$15))*('Vehicle Operation Benefits'!E$18),0)</f>
        <v>0</v>
      </c>
      <c r="E47" s="267">
        <f>IF(B47&lt;='1) Project Information'!D$14,(1/(1+'1) Project Information'!D$17)^(B47+'1) Project Information'!$D$15))*'Crash Benefits'!E$67,0)</f>
        <v>0</v>
      </c>
      <c r="F47" s="267">
        <f>IF(B47&lt;='1) Project Information'!D$14,(1/(1+'1) Project Information'!D$17)^(B47+'1) Project Information'!$D$15))*'Emission Benefits'!J$25,0)</f>
        <v>0</v>
      </c>
      <c r="G47" s="267">
        <f>IF(B47&lt;='1) Project Information'!$D$14,(1/(1+(IF('1) Project Information'!$E$17&gt;0,'1) Project Information'!$E$17,'1) Project Information'!$D$17)))^B47)*'Reliability Benefits'!$C$33,0)</f>
        <v>0</v>
      </c>
      <c r="H47" s="283">
        <f t="shared" si="4"/>
        <v>0</v>
      </c>
      <c r="I47" s="273">
        <f>'1) Project Information'!I77</f>
        <v>0</v>
      </c>
      <c r="J47" s="283">
        <f t="shared" si="5"/>
        <v>0</v>
      </c>
      <c r="K47" s="248"/>
    </row>
    <row r="48" spans="1:15" ht="30" customHeight="1" x14ac:dyDescent="0.35">
      <c r="A48" s="244"/>
      <c r="B48" s="282">
        <v>27</v>
      </c>
      <c r="C48" s="267">
        <f>IF(B48&lt;='1) Project Information'!D$14,(1/(1+'1) Project Information'!D$17)^B48)*'Travel Time Benefits'!E$20,0)</f>
        <v>0</v>
      </c>
      <c r="D48" s="267">
        <f>IF(B48&lt;='1) Project Information'!D$14,(1/(1+'1) Project Information'!D$17)^(B48+'1) Project Information'!$D$15))*('Vehicle Operation Benefits'!E$18),0)</f>
        <v>0</v>
      </c>
      <c r="E48" s="267">
        <f>IF(B48&lt;='1) Project Information'!D$14,(1/(1+'1) Project Information'!D$17)^(B48+'1) Project Information'!$D$15))*'Crash Benefits'!E$67,0)</f>
        <v>0</v>
      </c>
      <c r="F48" s="267">
        <f>IF(B48&lt;='1) Project Information'!D$14,(1/(1+'1) Project Information'!D$17)^(B48+'1) Project Information'!$D$15))*'Emission Benefits'!J$25,0)</f>
        <v>0</v>
      </c>
      <c r="G48" s="267">
        <f>IF(B48&lt;='1) Project Information'!$D$14,(1/(1+(IF('1) Project Information'!$E$17&gt;0,'1) Project Information'!$E$17,'1) Project Information'!$D$17)))^B48)*'Reliability Benefits'!$C$33,0)</f>
        <v>0</v>
      </c>
      <c r="H48" s="283">
        <f t="shared" si="4"/>
        <v>0</v>
      </c>
      <c r="I48" s="273">
        <f>'1) Project Information'!I78</f>
        <v>0</v>
      </c>
      <c r="J48" s="283">
        <f t="shared" si="5"/>
        <v>0</v>
      </c>
      <c r="K48" s="248"/>
    </row>
    <row r="49" spans="1:11" ht="30" customHeight="1" x14ac:dyDescent="0.35">
      <c r="A49" s="244"/>
      <c r="B49" s="282">
        <v>28</v>
      </c>
      <c r="C49" s="267">
        <f>IF(B49&lt;='1) Project Information'!D$14,(1/(1+'1) Project Information'!D$17)^B49)*'Travel Time Benefits'!E$20,0)</f>
        <v>0</v>
      </c>
      <c r="D49" s="267">
        <f>IF(B49&lt;='1) Project Information'!D$14,(1/(1+'1) Project Information'!D$17)^(B49+'1) Project Information'!$D$15))*('Vehicle Operation Benefits'!E$18),0)</f>
        <v>0</v>
      </c>
      <c r="E49" s="267">
        <f>IF(B49&lt;='1) Project Information'!D$14,(1/(1+'1) Project Information'!D$17)^(B49+'1) Project Information'!$D$15))*'Crash Benefits'!E$67,0)</f>
        <v>0</v>
      </c>
      <c r="F49" s="267">
        <f>IF(B49&lt;='1) Project Information'!D$14,(1/(1+'1) Project Information'!D$17)^(B49+'1) Project Information'!$D$15))*'Emission Benefits'!J$25,0)</f>
        <v>0</v>
      </c>
      <c r="G49" s="267">
        <f>IF(B49&lt;='1) Project Information'!$D$14,(1/(1+(IF('1) Project Information'!$E$17&gt;0,'1) Project Information'!$E$17,'1) Project Information'!$D$17)))^B49)*'Reliability Benefits'!$C$33,0)</f>
        <v>0</v>
      </c>
      <c r="H49" s="283">
        <f t="shared" si="4"/>
        <v>0</v>
      </c>
      <c r="I49" s="273">
        <f>'1) Project Information'!I79</f>
        <v>0</v>
      </c>
      <c r="J49" s="283">
        <f t="shared" si="5"/>
        <v>0</v>
      </c>
      <c r="K49" s="248"/>
    </row>
    <row r="50" spans="1:11" ht="30" customHeight="1" x14ac:dyDescent="0.35">
      <c r="A50" s="244"/>
      <c r="B50" s="282">
        <v>29</v>
      </c>
      <c r="C50" s="267">
        <f>IF(B50&lt;='1) Project Information'!D$14,(1/(1+'1) Project Information'!D$17)^B50)*'Travel Time Benefits'!E$20,0)</f>
        <v>0</v>
      </c>
      <c r="D50" s="267">
        <f>IF(B50&lt;='1) Project Information'!D$14,(1/(1+'1) Project Information'!D$17)^(B50+'1) Project Information'!$D$15))*('Vehicle Operation Benefits'!E$18),0)</f>
        <v>0</v>
      </c>
      <c r="E50" s="267">
        <f>IF(B50&lt;='1) Project Information'!D$14,(1/(1+'1) Project Information'!D$17)^(B50+'1) Project Information'!$D$15))*'Crash Benefits'!E$67,0)</f>
        <v>0</v>
      </c>
      <c r="F50" s="267">
        <f>IF(B50&lt;='1) Project Information'!D$14,(1/(1+'1) Project Information'!D$17)^(B50+'1) Project Information'!$D$15))*'Emission Benefits'!J$25,0)</f>
        <v>0</v>
      </c>
      <c r="G50" s="267">
        <f>IF(B50&lt;='1) Project Information'!$D$14,(1/(1+(IF('1) Project Information'!$E$17&gt;0,'1) Project Information'!$E$17,'1) Project Information'!$D$17)))^B50)*'Reliability Benefits'!$C$33,0)</f>
        <v>0</v>
      </c>
      <c r="H50" s="283">
        <f t="shared" si="4"/>
        <v>0</v>
      </c>
      <c r="I50" s="273">
        <f>'1) Project Information'!I80</f>
        <v>0</v>
      </c>
      <c r="J50" s="283">
        <f t="shared" si="5"/>
        <v>0</v>
      </c>
      <c r="K50" s="248"/>
    </row>
    <row r="51" spans="1:11" ht="30" customHeight="1" x14ac:dyDescent="0.35">
      <c r="A51" s="244"/>
      <c r="B51" s="282">
        <v>30</v>
      </c>
      <c r="C51" s="267">
        <f>IF(B51&lt;='1) Project Information'!D$14,(1/(1+'1) Project Information'!D$17)^B51)*'Travel Time Benefits'!E$20,0)</f>
        <v>0</v>
      </c>
      <c r="D51" s="267">
        <f>IF(B51&lt;='1) Project Information'!D$14,(1/(1+'1) Project Information'!D$17)^(B51+'1) Project Information'!$D$15))*('Vehicle Operation Benefits'!E$18),0)</f>
        <v>0</v>
      </c>
      <c r="E51" s="267">
        <f>IF(B51&lt;='1) Project Information'!D$14,(1/(1+'1) Project Information'!D$17)^(B51+'1) Project Information'!$D$15))*'Crash Benefits'!E$67,0)</f>
        <v>0</v>
      </c>
      <c r="F51" s="267">
        <f>IF(B51&lt;='1) Project Information'!D$14,(1/(1+'1) Project Information'!D$17)^(B51+'1) Project Information'!$D$15))*'Emission Benefits'!J$25,0)</f>
        <v>0</v>
      </c>
      <c r="G51" s="267">
        <f>IF(B51&lt;='1) Project Information'!$D$14,(1/(1+(IF('1) Project Information'!$E$17&gt;0,'1) Project Information'!$E$17,'1) Project Information'!$D$17)))^B51)*'Reliability Benefits'!$C$33,0)</f>
        <v>0</v>
      </c>
      <c r="H51" s="283">
        <f t="shared" si="4"/>
        <v>0</v>
      </c>
      <c r="I51" s="273">
        <f>'1) Project Information'!I81</f>
        <v>0</v>
      </c>
      <c r="J51" s="283">
        <f t="shared" si="5"/>
        <v>0</v>
      </c>
      <c r="K51" s="248"/>
    </row>
    <row r="52" spans="1:11" ht="30" customHeight="1" x14ac:dyDescent="0.35">
      <c r="A52" s="244"/>
      <c r="B52" s="282">
        <v>31</v>
      </c>
      <c r="C52" s="267">
        <f>IF(B52&lt;='1) Project Information'!D$14,(1/(1+'1) Project Information'!D$17)^B52)*'Travel Time Benefits'!E$20,0)</f>
        <v>0</v>
      </c>
      <c r="D52" s="267">
        <f>IF(B52&lt;='1) Project Information'!D$14,(1/(1+'1) Project Information'!D$17)^(B52+'1) Project Information'!$D$15))*('Vehicle Operation Benefits'!E$18),0)</f>
        <v>0</v>
      </c>
      <c r="E52" s="267">
        <f>IF(B52&lt;='1) Project Information'!D$14,(1/(1+'1) Project Information'!D$17)^(B52+'1) Project Information'!$D$15))*'Crash Benefits'!E$67,0)</f>
        <v>0</v>
      </c>
      <c r="F52" s="267">
        <f>IF(B52&lt;='1) Project Information'!D$14,(1/(1+'1) Project Information'!D$17)^(B52+'1) Project Information'!$D$15))*'Emission Benefits'!J$25,0)</f>
        <v>0</v>
      </c>
      <c r="G52" s="267">
        <f>IF(B52&lt;='1) Project Information'!$D$14,(1/(1+(IF('1) Project Information'!$E$17&gt;0,'1) Project Information'!$E$17,'1) Project Information'!$D$17)))^B52)*'Reliability Benefits'!$C$33,0)</f>
        <v>0</v>
      </c>
      <c r="H52" s="283">
        <f t="shared" si="4"/>
        <v>0</v>
      </c>
      <c r="I52" s="273">
        <f>'1) Project Information'!I82</f>
        <v>0</v>
      </c>
      <c r="J52" s="283">
        <f t="shared" si="5"/>
        <v>0</v>
      </c>
      <c r="K52" s="248"/>
    </row>
    <row r="53" spans="1:11" ht="30" customHeight="1" x14ac:dyDescent="0.35">
      <c r="A53" s="244"/>
      <c r="B53" s="282">
        <v>32</v>
      </c>
      <c r="C53" s="267">
        <f>IF(B53&lt;='1) Project Information'!D$14,(1/(1+'1) Project Information'!D$17)^B53)*'Travel Time Benefits'!E$20,0)</f>
        <v>0</v>
      </c>
      <c r="D53" s="267">
        <f>IF(B53&lt;='1) Project Information'!D$14,(1/(1+'1) Project Information'!D$17)^(B53+'1) Project Information'!$D$15))*('Vehicle Operation Benefits'!E$18),0)</f>
        <v>0</v>
      </c>
      <c r="E53" s="267">
        <f>IF(B53&lt;='1) Project Information'!D$14,(1/(1+'1) Project Information'!D$17)^(B53+'1) Project Information'!$D$15))*'Crash Benefits'!E$67,0)</f>
        <v>0</v>
      </c>
      <c r="F53" s="267">
        <f>IF(B53&lt;='1) Project Information'!D$14,(1/(1+'1) Project Information'!D$17)^(B53+'1) Project Information'!$D$15))*'Emission Benefits'!J$25,0)</f>
        <v>0</v>
      </c>
      <c r="G53" s="267">
        <f>IF(B53&lt;='1) Project Information'!$D$14,(1/(1+(IF('1) Project Information'!$E$17&gt;0,'1) Project Information'!$E$17,'1) Project Information'!$D$17)))^B53)*'Reliability Benefits'!$C$33,0)</f>
        <v>0</v>
      </c>
      <c r="H53" s="283">
        <f t="shared" si="4"/>
        <v>0</v>
      </c>
      <c r="I53" s="273">
        <f>'1) Project Information'!I83</f>
        <v>0</v>
      </c>
      <c r="J53" s="283">
        <f t="shared" si="5"/>
        <v>0</v>
      </c>
      <c r="K53" s="248"/>
    </row>
    <row r="54" spans="1:11" ht="30" customHeight="1" x14ac:dyDescent="0.35">
      <c r="A54" s="244"/>
      <c r="B54" s="282">
        <v>33</v>
      </c>
      <c r="C54" s="267">
        <f>IF(B54&lt;='1) Project Information'!D$14,(1/(1+'1) Project Information'!D$17)^B54)*'Travel Time Benefits'!E$20,0)</f>
        <v>0</v>
      </c>
      <c r="D54" s="267">
        <f>IF(B54&lt;='1) Project Information'!D$14,(1/(1+'1) Project Information'!D$17)^(B54+'1) Project Information'!$D$15))*('Vehicle Operation Benefits'!E$18),0)</f>
        <v>0</v>
      </c>
      <c r="E54" s="267">
        <f>IF(B54&lt;='1) Project Information'!D$14,(1/(1+'1) Project Information'!D$17)^(B54+'1) Project Information'!$D$15))*'Crash Benefits'!E$67,0)</f>
        <v>0</v>
      </c>
      <c r="F54" s="267">
        <f>IF(B54&lt;='1) Project Information'!D$14,(1/(1+'1) Project Information'!D$17)^(B54+'1) Project Information'!$D$15))*'Emission Benefits'!J$25,0)</f>
        <v>0</v>
      </c>
      <c r="G54" s="267">
        <f>IF(B54&lt;='1) Project Information'!$D$14,(1/(1+(IF('1) Project Information'!$E$17&gt;0,'1) Project Information'!$E$17,'1) Project Information'!$D$17)))^B54)*'Reliability Benefits'!$C$33,0)</f>
        <v>0</v>
      </c>
      <c r="H54" s="283">
        <f t="shared" si="4"/>
        <v>0</v>
      </c>
      <c r="I54" s="273">
        <f>'1) Project Information'!I84</f>
        <v>0</v>
      </c>
      <c r="J54" s="283">
        <f t="shared" si="5"/>
        <v>0</v>
      </c>
      <c r="K54" s="248"/>
    </row>
    <row r="55" spans="1:11" ht="30" customHeight="1" x14ac:dyDescent="0.35">
      <c r="A55" s="244"/>
      <c r="B55" s="282">
        <v>34</v>
      </c>
      <c r="C55" s="272">
        <f>IF(B55&lt;='1) Project Information'!D$14,(1/(1+'1) Project Information'!D$17)^B55)*'Travel Time Benefits'!E$20,0)</f>
        <v>0</v>
      </c>
      <c r="D55" s="267">
        <f>IF(B55&lt;='1) Project Information'!D$14,(1/(1+'1) Project Information'!D$17)^(B55+'1) Project Information'!$D$15))*('Vehicle Operation Benefits'!E$18),0)</f>
        <v>0</v>
      </c>
      <c r="E55" s="267">
        <f>IF(B55&lt;='1) Project Information'!D$14,(1/(1+'1) Project Information'!D$17)^(B55+'1) Project Information'!$D$15))*'Crash Benefits'!E$67,0)</f>
        <v>0</v>
      </c>
      <c r="F55" s="267">
        <f>IF(B55&lt;='1) Project Information'!D$14,(1/(1+'1) Project Information'!D$17)^(B55+'1) Project Information'!$D$15))*'Emission Benefits'!J$25,0)</f>
        <v>0</v>
      </c>
      <c r="G55" s="267">
        <f>IF(B55&lt;='1) Project Information'!$D$14,(1/(1+(IF('1) Project Information'!$E$17&gt;0,'1) Project Information'!$E$17,'1) Project Information'!$D$17)))^B55)*'Reliability Benefits'!$C$33,0)</f>
        <v>0</v>
      </c>
      <c r="H55" s="283">
        <f t="shared" si="4"/>
        <v>0</v>
      </c>
      <c r="I55" s="273">
        <f>'1) Project Information'!I85</f>
        <v>0</v>
      </c>
      <c r="J55" s="283">
        <f t="shared" si="5"/>
        <v>0</v>
      </c>
      <c r="K55" s="248"/>
    </row>
    <row r="56" spans="1:11" ht="30" customHeight="1" x14ac:dyDescent="0.35">
      <c r="A56" s="244"/>
      <c r="B56" s="282">
        <v>35</v>
      </c>
      <c r="C56" s="272">
        <f>IF(B56&lt;='1) Project Information'!D$14,(1/(1+'1) Project Information'!D$17)^B56)*'Travel Time Benefits'!E$20,0)</f>
        <v>0</v>
      </c>
      <c r="D56" s="267">
        <f>IF(B56&lt;='1) Project Information'!D$14,(1/(1+'1) Project Information'!D$17)^(B56+'1) Project Information'!$D$15))*('Vehicle Operation Benefits'!E$18),0)</f>
        <v>0</v>
      </c>
      <c r="E56" s="267">
        <f>IF(B56&lt;='1) Project Information'!D$14,(1/(1+'1) Project Information'!D$17)^(B56+'1) Project Information'!$D$15))*'Crash Benefits'!E$67,0)</f>
        <v>0</v>
      </c>
      <c r="F56" s="267">
        <f>IF(B56&lt;='1) Project Information'!D$14,(1/(1+'1) Project Information'!D$17)^(B56+'1) Project Information'!$D$15))*'Emission Benefits'!J$25,0)</f>
        <v>0</v>
      </c>
      <c r="G56" s="267">
        <f>IF(B56&lt;='1) Project Information'!$D$14,(1/(1+(IF('1) Project Information'!$E$17&gt;0,'1) Project Information'!$E$17,'1) Project Information'!$D$17)))^B56)*'Reliability Benefits'!$C$33,0)</f>
        <v>0</v>
      </c>
      <c r="H56" s="283">
        <f t="shared" si="4"/>
        <v>0</v>
      </c>
      <c r="I56" s="273">
        <f>'1) Project Information'!I86</f>
        <v>0</v>
      </c>
      <c r="J56" s="283">
        <f t="shared" si="5"/>
        <v>0</v>
      </c>
      <c r="K56" s="248"/>
    </row>
    <row r="57" spans="1:11" ht="30" customHeight="1" x14ac:dyDescent="0.35">
      <c r="A57" s="244"/>
      <c r="B57" s="282">
        <v>36</v>
      </c>
      <c r="C57" s="272">
        <f>IF(B57&lt;='1) Project Information'!D$14,(1/(1+'1) Project Information'!D$17)^B57)*'Travel Time Benefits'!E$20,0)</f>
        <v>0</v>
      </c>
      <c r="D57" s="267">
        <f>IF(B57&lt;='1) Project Information'!D$14,(1/(1+'1) Project Information'!D$17)^(B57+'1) Project Information'!$D$15))*('Vehicle Operation Benefits'!E$18),0)</f>
        <v>0</v>
      </c>
      <c r="E57" s="267">
        <f>IF(B57&lt;='1) Project Information'!D$14,(1/(1+'1) Project Information'!D$17)^(B57+'1) Project Information'!$D$15))*'Crash Benefits'!E$67,0)</f>
        <v>0</v>
      </c>
      <c r="F57" s="267">
        <f>IF(B57&lt;='1) Project Information'!D$14,(1/(1+'1) Project Information'!D$17)^(B57+'1) Project Information'!$D$15))*'Emission Benefits'!J$25,0)</f>
        <v>0</v>
      </c>
      <c r="G57" s="267">
        <f>IF(B57&lt;='1) Project Information'!$D$14,(1/(1+(IF('1) Project Information'!$E$17&gt;0,'1) Project Information'!$E$17,'1) Project Information'!$D$17)))^B57)*'Reliability Benefits'!$C$33,0)</f>
        <v>0</v>
      </c>
      <c r="H57" s="283">
        <f t="shared" si="4"/>
        <v>0</v>
      </c>
      <c r="I57" s="273">
        <f>'1) Project Information'!I87</f>
        <v>0</v>
      </c>
      <c r="J57" s="283">
        <f t="shared" si="5"/>
        <v>0</v>
      </c>
      <c r="K57" s="248"/>
    </row>
    <row r="58" spans="1:11" ht="30" customHeight="1" x14ac:dyDescent="0.35">
      <c r="A58" s="244"/>
      <c r="B58" s="282">
        <v>37</v>
      </c>
      <c r="C58" s="272">
        <f>IF(B58&lt;='1) Project Information'!D$14,(1/(1+'1) Project Information'!D$17)^B58)*'Travel Time Benefits'!E$20,0)</f>
        <v>0</v>
      </c>
      <c r="D58" s="267">
        <f>IF(B58&lt;='1) Project Information'!D$14,(1/(1+'1) Project Information'!D$17)^(B58+'1) Project Information'!$D$15))*('Vehicle Operation Benefits'!E$18),0)</f>
        <v>0</v>
      </c>
      <c r="E58" s="267">
        <f>IF(B58&lt;='1) Project Information'!D$14,(1/(1+'1) Project Information'!D$17)^(B58+'1) Project Information'!$D$15))*'Crash Benefits'!E$67,0)</f>
        <v>0</v>
      </c>
      <c r="F58" s="267">
        <f>IF(B58&lt;='1) Project Information'!D$14,(1/(1+'1) Project Information'!D$17)^(B58+'1) Project Information'!$D$15))*'Emission Benefits'!J$25,0)</f>
        <v>0</v>
      </c>
      <c r="G58" s="267">
        <f>IF(B58&lt;='1) Project Information'!$D$14,(1/(1+(IF('1) Project Information'!$E$17&gt;0,'1) Project Information'!$E$17,'1) Project Information'!$D$17)))^B58)*'Reliability Benefits'!$C$33,0)</f>
        <v>0</v>
      </c>
      <c r="H58" s="283">
        <f t="shared" si="4"/>
        <v>0</v>
      </c>
      <c r="I58" s="273">
        <f>'1) Project Information'!I88</f>
        <v>0</v>
      </c>
      <c r="J58" s="283">
        <f t="shared" si="5"/>
        <v>0</v>
      </c>
      <c r="K58" s="248"/>
    </row>
    <row r="59" spans="1:11" ht="30" customHeight="1" x14ac:dyDescent="0.35">
      <c r="A59" s="244"/>
      <c r="B59" s="282">
        <v>38</v>
      </c>
      <c r="C59" s="272">
        <f>IF(B59&lt;='1) Project Information'!D$14,(1/(1+'1) Project Information'!D$17)^B59)*'Travel Time Benefits'!E$20,0)</f>
        <v>0</v>
      </c>
      <c r="D59" s="267">
        <f>IF(B59&lt;='1) Project Information'!D$14,(1/(1+'1) Project Information'!D$17)^(B59+'1) Project Information'!$D$15))*('Vehicle Operation Benefits'!E$18),0)</f>
        <v>0</v>
      </c>
      <c r="E59" s="267">
        <f>IF(B59&lt;='1) Project Information'!D$14,(1/(1+'1) Project Information'!D$17)^(B59+'1) Project Information'!$D$15))*'Crash Benefits'!E$67,0)</f>
        <v>0</v>
      </c>
      <c r="F59" s="267">
        <f>IF(B59&lt;='1) Project Information'!D$14,(1/(1+'1) Project Information'!D$17)^(B59+'1) Project Information'!$D$15))*'Emission Benefits'!J$25,0)</f>
        <v>0</v>
      </c>
      <c r="G59" s="267">
        <f>IF(B59&lt;='1) Project Information'!$D$14,(1/(1+(IF('1) Project Information'!$E$17&gt;0,'1) Project Information'!$E$17,'1) Project Information'!$D$17)))^B59)*'Reliability Benefits'!$C$33,0)</f>
        <v>0</v>
      </c>
      <c r="H59" s="283">
        <f t="shared" si="4"/>
        <v>0</v>
      </c>
      <c r="I59" s="273">
        <f>'1) Project Information'!I89</f>
        <v>0</v>
      </c>
      <c r="J59" s="283">
        <f t="shared" si="5"/>
        <v>0</v>
      </c>
      <c r="K59" s="248"/>
    </row>
    <row r="60" spans="1:11" ht="30" customHeight="1" x14ac:dyDescent="0.35">
      <c r="A60" s="244"/>
      <c r="B60" s="282">
        <v>39</v>
      </c>
      <c r="C60" s="272">
        <f>IF(B60&lt;='1) Project Information'!D$14,(1/(1+'1) Project Information'!D$17)^B60)*'Travel Time Benefits'!E$20,0)</f>
        <v>0</v>
      </c>
      <c r="D60" s="267">
        <f>IF(B60&lt;='1) Project Information'!D$14,(1/(1+'1) Project Information'!D$17)^(B60+'1) Project Information'!$D$15))*('Vehicle Operation Benefits'!E$18),0)</f>
        <v>0</v>
      </c>
      <c r="E60" s="267">
        <f>IF(B60&lt;='1) Project Information'!D$14,(1/(1+'1) Project Information'!D$17)^(B60+'1) Project Information'!$D$15))*'Crash Benefits'!E$67,0)</f>
        <v>0</v>
      </c>
      <c r="F60" s="267">
        <f>IF(B60&lt;='1) Project Information'!D$14,(1/(1+'1) Project Information'!D$17)^(B60+'1) Project Information'!$D$15))*'Emission Benefits'!J$25,0)</f>
        <v>0</v>
      </c>
      <c r="G60" s="267">
        <f>IF(B60&lt;='1) Project Information'!$D$14,(1/(1+(IF('1) Project Information'!$E$17&gt;0,'1) Project Information'!$E$17,'1) Project Information'!$D$17)))^B60)*'Reliability Benefits'!$C$33,0)</f>
        <v>0</v>
      </c>
      <c r="H60" s="283">
        <f t="shared" si="4"/>
        <v>0</v>
      </c>
      <c r="I60" s="273">
        <f>'1) Project Information'!I90</f>
        <v>0</v>
      </c>
      <c r="J60" s="283">
        <f t="shared" si="5"/>
        <v>0</v>
      </c>
      <c r="K60" s="248"/>
    </row>
    <row r="61" spans="1:11" ht="30" customHeight="1" x14ac:dyDescent="0.35">
      <c r="A61" s="244"/>
      <c r="B61" s="282">
        <v>40</v>
      </c>
      <c r="C61" s="272">
        <f>IF(B61&lt;='1) Project Information'!D$14,(1/(1+'1) Project Information'!D$17)^B61)*'Travel Time Benefits'!E$20,0)</f>
        <v>0</v>
      </c>
      <c r="D61" s="267">
        <f>IF(B61&lt;='1) Project Information'!D$14,(1/(1+'1) Project Information'!D$17)^(B61+'1) Project Information'!$D$15))*('Vehicle Operation Benefits'!E$18),0)</f>
        <v>0</v>
      </c>
      <c r="E61" s="267">
        <f>IF(B61&lt;='1) Project Information'!D$14,(1/(1+'1) Project Information'!D$17)^(B61+'1) Project Information'!$D$15))*'Crash Benefits'!E$67,0)</f>
        <v>0</v>
      </c>
      <c r="F61" s="267">
        <f>IF(B61&lt;='1) Project Information'!D$14,(1/(1+'1) Project Information'!D$17)^(B61+'1) Project Information'!$D$15))*'Emission Benefits'!J$25,0)</f>
        <v>0</v>
      </c>
      <c r="G61" s="267">
        <f>IF(B61&lt;='1) Project Information'!$D$14,(1/(1+(IF('1) Project Information'!$E$17&gt;0,'1) Project Information'!$E$17,'1) Project Information'!$D$17)))^B61)*'Reliability Benefits'!$C$33,0)</f>
        <v>0</v>
      </c>
      <c r="H61" s="283">
        <f t="shared" si="4"/>
        <v>0</v>
      </c>
      <c r="I61" s="273">
        <f>'1) Project Information'!I91</f>
        <v>0</v>
      </c>
      <c r="J61" s="283">
        <f t="shared" si="5"/>
        <v>0</v>
      </c>
      <c r="K61" s="248"/>
    </row>
    <row r="62" spans="1:11" ht="30" customHeight="1" x14ac:dyDescent="0.35">
      <c r="A62" s="244"/>
      <c r="B62" s="282">
        <v>41</v>
      </c>
      <c r="C62" s="272">
        <f>IF(B62&lt;='1) Project Information'!D$14,(1/(1+'1) Project Information'!D$17)^B62)*'Travel Time Benefits'!E$20,0)</f>
        <v>0</v>
      </c>
      <c r="D62" s="267">
        <f>IF(B62&lt;='1) Project Information'!D$14,(1/(1+'1) Project Information'!D$17)^(B62+'1) Project Information'!$D$15))*('Vehicle Operation Benefits'!E$18),0)</f>
        <v>0</v>
      </c>
      <c r="E62" s="267">
        <f>IF(B62&lt;='1) Project Information'!D$14,(1/(1+'1) Project Information'!D$17)^(B62+'1) Project Information'!$D$15))*'Crash Benefits'!E$67,0)</f>
        <v>0</v>
      </c>
      <c r="F62" s="267">
        <f>IF(B62&lt;='1) Project Information'!D$14,(1/(1+'1) Project Information'!D$17)^(B62+'1) Project Information'!$D$15))*'Emission Benefits'!J$25,0)</f>
        <v>0</v>
      </c>
      <c r="G62" s="267">
        <f>IF(B62&lt;='1) Project Information'!$D$14,(1/(1+(IF('1) Project Information'!$E$17&gt;0,'1) Project Information'!$E$17,'1) Project Information'!$D$17)))^B62)*'Reliability Benefits'!$C$33,0)</f>
        <v>0</v>
      </c>
      <c r="H62" s="283">
        <f t="shared" si="4"/>
        <v>0</v>
      </c>
      <c r="I62" s="273">
        <f>'1) Project Information'!I92</f>
        <v>0</v>
      </c>
      <c r="J62" s="283">
        <f t="shared" si="5"/>
        <v>0</v>
      </c>
      <c r="K62" s="248"/>
    </row>
    <row r="63" spans="1:11" ht="30" customHeight="1" x14ac:dyDescent="0.35">
      <c r="A63" s="244"/>
      <c r="B63" s="282">
        <v>42</v>
      </c>
      <c r="C63" s="272">
        <f>IF(B63&lt;='1) Project Information'!D$14,(1/(1+'1) Project Information'!D$17)^B63)*'Travel Time Benefits'!E$20,0)</f>
        <v>0</v>
      </c>
      <c r="D63" s="267">
        <f>IF(B63&lt;='1) Project Information'!D$14,(1/(1+'1) Project Information'!D$17)^(B63+'1) Project Information'!$D$15))*('Vehicle Operation Benefits'!E$18),0)</f>
        <v>0</v>
      </c>
      <c r="E63" s="267">
        <f>IF(B63&lt;='1) Project Information'!D$14,(1/(1+'1) Project Information'!D$17)^(B63+'1) Project Information'!$D$15))*'Crash Benefits'!E$67,0)</f>
        <v>0</v>
      </c>
      <c r="F63" s="267">
        <f>IF(B63&lt;='1) Project Information'!D$14,(1/(1+'1) Project Information'!D$17)^(B63+'1) Project Information'!$D$15))*'Emission Benefits'!J$25,0)</f>
        <v>0</v>
      </c>
      <c r="G63" s="267">
        <f>IF(B63&lt;='1) Project Information'!$D$14,(1/(1+(IF('1) Project Information'!$E$17&gt;0,'1) Project Information'!$E$17,'1) Project Information'!$D$17)))^B63)*'Reliability Benefits'!$C$33,0)</f>
        <v>0</v>
      </c>
      <c r="H63" s="283">
        <f t="shared" si="4"/>
        <v>0</v>
      </c>
      <c r="I63" s="273">
        <f>'1) Project Information'!I93</f>
        <v>0</v>
      </c>
      <c r="J63" s="283">
        <f t="shared" si="5"/>
        <v>0</v>
      </c>
      <c r="K63" s="248"/>
    </row>
    <row r="64" spans="1:11" ht="30" customHeight="1" x14ac:dyDescent="0.35">
      <c r="A64" s="244"/>
      <c r="B64" s="282">
        <v>43</v>
      </c>
      <c r="C64" s="272">
        <f>IF(B64&lt;='1) Project Information'!D$14,(1/(1+'1) Project Information'!D$17)^B64)*'Travel Time Benefits'!E$20,0)</f>
        <v>0</v>
      </c>
      <c r="D64" s="267">
        <f>IF(B64&lt;='1) Project Information'!D$14,(1/(1+'1) Project Information'!D$17)^(B64+'1) Project Information'!$D$15))*('Vehicle Operation Benefits'!E$18),0)</f>
        <v>0</v>
      </c>
      <c r="E64" s="267">
        <f>IF(B64&lt;='1) Project Information'!D$14,(1/(1+'1) Project Information'!D$17)^(B64+'1) Project Information'!$D$15))*'Crash Benefits'!E$67,0)</f>
        <v>0</v>
      </c>
      <c r="F64" s="267">
        <f>IF(B64&lt;='1) Project Information'!D$14,(1/(1+'1) Project Information'!D$17)^(B64+'1) Project Information'!$D$15))*'Emission Benefits'!J$25,0)</f>
        <v>0</v>
      </c>
      <c r="G64" s="267">
        <f>IF(B64&lt;='1) Project Information'!$D$14,(1/(1+(IF('1) Project Information'!$E$17&gt;0,'1) Project Information'!$E$17,'1) Project Information'!$D$17)))^B64)*'Reliability Benefits'!$C$33,0)</f>
        <v>0</v>
      </c>
      <c r="H64" s="283">
        <f t="shared" si="4"/>
        <v>0</v>
      </c>
      <c r="I64" s="273">
        <f>'1) Project Information'!I94</f>
        <v>0</v>
      </c>
      <c r="J64" s="283">
        <f t="shared" si="5"/>
        <v>0</v>
      </c>
      <c r="K64" s="248"/>
    </row>
    <row r="65" spans="1:13" ht="30" customHeight="1" x14ac:dyDescent="0.35">
      <c r="A65" s="244"/>
      <c r="B65" s="282">
        <v>44</v>
      </c>
      <c r="C65" s="272">
        <f>IF(B65&lt;='1) Project Information'!D$14,(1/(1+'1) Project Information'!D$17)^B65)*'Travel Time Benefits'!E$20,0)</f>
        <v>0</v>
      </c>
      <c r="D65" s="267">
        <f>IF(B65&lt;='1) Project Information'!D$14,(1/(1+'1) Project Information'!D$17)^(B65+'1) Project Information'!$D$15))*('Vehicle Operation Benefits'!E$18),0)</f>
        <v>0</v>
      </c>
      <c r="E65" s="267">
        <f>IF(B65&lt;='1) Project Information'!D$14,(1/(1+'1) Project Information'!D$17)^(B65+'1) Project Information'!$D$15))*'Crash Benefits'!E$67,0)</f>
        <v>0</v>
      </c>
      <c r="F65" s="267">
        <f>IF(B65&lt;='1) Project Information'!D$14,(1/(1+'1) Project Information'!D$17)^(B65+'1) Project Information'!$D$15))*'Emission Benefits'!J$25,0)</f>
        <v>0</v>
      </c>
      <c r="G65" s="267">
        <f>IF(B65&lt;='1) Project Information'!$D$14,(1/(1+(IF('1) Project Information'!$E$17&gt;0,'1) Project Information'!$E$17,'1) Project Information'!$D$17)))^B65)*'Reliability Benefits'!$C$33,0)</f>
        <v>0</v>
      </c>
      <c r="H65" s="283">
        <f t="shared" si="4"/>
        <v>0</v>
      </c>
      <c r="I65" s="273">
        <f>'1) Project Information'!I95</f>
        <v>0</v>
      </c>
      <c r="J65" s="283">
        <f t="shared" si="5"/>
        <v>0</v>
      </c>
      <c r="K65" s="248"/>
    </row>
    <row r="66" spans="1:13" ht="30" customHeight="1" x14ac:dyDescent="0.35">
      <c r="A66" s="244"/>
      <c r="B66" s="282">
        <v>45</v>
      </c>
      <c r="C66" s="272">
        <f>IF(B66&lt;='1) Project Information'!D$14,(1/(1+'1) Project Information'!D$17)^B66)*'Travel Time Benefits'!E$20,0)</f>
        <v>0</v>
      </c>
      <c r="D66" s="267">
        <f>IF(B66&lt;='1) Project Information'!D$14,(1/(1+'1) Project Information'!D$17)^(B66+'1) Project Information'!$D$15))*('Vehicle Operation Benefits'!E$18),0)</f>
        <v>0</v>
      </c>
      <c r="E66" s="267">
        <f>IF(B66&lt;='1) Project Information'!D$14,(1/(1+'1) Project Information'!D$17)^(B66+'1) Project Information'!$D$15))*'Crash Benefits'!E$67,0)</f>
        <v>0</v>
      </c>
      <c r="F66" s="267">
        <f>IF(B66&lt;='1) Project Information'!D$14,(1/(1+'1) Project Information'!D$17)^(B66+'1) Project Information'!$D$15))*'Emission Benefits'!J$25,0)</f>
        <v>0</v>
      </c>
      <c r="G66" s="267">
        <f>IF(B66&lt;='1) Project Information'!$D$14,(1/(1+(IF('1) Project Information'!$E$17&gt;0,'1) Project Information'!$E$17,'1) Project Information'!$D$17)))^B66)*'Reliability Benefits'!$C$33,0)</f>
        <v>0</v>
      </c>
      <c r="H66" s="283">
        <f t="shared" si="4"/>
        <v>0</v>
      </c>
      <c r="I66" s="273">
        <f>'1) Project Information'!I96</f>
        <v>0</v>
      </c>
      <c r="J66" s="283">
        <f t="shared" si="5"/>
        <v>0</v>
      </c>
      <c r="K66" s="248"/>
    </row>
    <row r="67" spans="1:13" ht="30" customHeight="1" x14ac:dyDescent="0.35">
      <c r="A67" s="244"/>
      <c r="B67" s="282">
        <v>46</v>
      </c>
      <c r="C67" s="272">
        <f>IF(B67&lt;='1) Project Information'!D$14,(1/(1+'1) Project Information'!D$17)^B67)*'Travel Time Benefits'!E$20,0)</f>
        <v>0</v>
      </c>
      <c r="D67" s="267">
        <f>IF(B67&lt;='1) Project Information'!D$14,(1/(1+'1) Project Information'!D$17)^(B67+'1) Project Information'!$D$15))*('Vehicle Operation Benefits'!E$18),0)</f>
        <v>0</v>
      </c>
      <c r="E67" s="267">
        <f>IF(B67&lt;='1) Project Information'!D$14,(1/(1+'1) Project Information'!D$17)^(B67+'1) Project Information'!$D$15))*'Crash Benefits'!E$67,0)</f>
        <v>0</v>
      </c>
      <c r="F67" s="267">
        <f>IF(B67&lt;='1) Project Information'!D$14,(1/(1+'1) Project Information'!D$17)^(B67+'1) Project Information'!$D$15))*'Emission Benefits'!J$25,0)</f>
        <v>0</v>
      </c>
      <c r="G67" s="267">
        <f>IF(B67&lt;='1) Project Information'!$D$14,(1/(1+(IF('1) Project Information'!$E$17&gt;0,'1) Project Information'!$E$17,'1) Project Information'!$D$17)))^B67)*'Reliability Benefits'!$C$33,0)</f>
        <v>0</v>
      </c>
      <c r="H67" s="283">
        <f t="shared" si="4"/>
        <v>0</v>
      </c>
      <c r="I67" s="273">
        <f>'1) Project Information'!I97</f>
        <v>0</v>
      </c>
      <c r="J67" s="283">
        <f t="shared" si="5"/>
        <v>0</v>
      </c>
      <c r="K67" s="248"/>
    </row>
    <row r="68" spans="1:13" ht="30" customHeight="1" x14ac:dyDescent="0.35">
      <c r="A68" s="244"/>
      <c r="B68" s="282">
        <v>47</v>
      </c>
      <c r="C68" s="272">
        <f>IF(B68&lt;='1) Project Information'!D$14,(1/(1+'1) Project Information'!D$17)^B68)*'Travel Time Benefits'!E$20,0)</f>
        <v>0</v>
      </c>
      <c r="D68" s="267">
        <f>IF(B68&lt;='1) Project Information'!D$14,(1/(1+'1) Project Information'!D$17)^(B68+'1) Project Information'!$D$15))*('Vehicle Operation Benefits'!E$18),0)</f>
        <v>0</v>
      </c>
      <c r="E68" s="267">
        <f>IF(B68&lt;='1) Project Information'!D$14,(1/(1+'1) Project Information'!D$17)^(B68+'1) Project Information'!$D$15))*'Crash Benefits'!E$67,0)</f>
        <v>0</v>
      </c>
      <c r="F68" s="267">
        <f>IF(B68&lt;='1) Project Information'!D$14,(1/(1+'1) Project Information'!D$17)^(B68+'1) Project Information'!$D$15))*'Emission Benefits'!J$25,0)</f>
        <v>0</v>
      </c>
      <c r="G68" s="267">
        <f>IF(B68&lt;='1) Project Information'!$D$14,(1/(1+(IF('1) Project Information'!$E$17&gt;0,'1) Project Information'!$E$17,'1) Project Information'!$D$17)))^B68)*'Reliability Benefits'!$C$33,0)</f>
        <v>0</v>
      </c>
      <c r="H68" s="283">
        <f t="shared" si="4"/>
        <v>0</v>
      </c>
      <c r="I68" s="273">
        <f>'1) Project Information'!I98</f>
        <v>0</v>
      </c>
      <c r="J68" s="283">
        <f t="shared" si="5"/>
        <v>0</v>
      </c>
      <c r="K68" s="248"/>
    </row>
    <row r="69" spans="1:13" ht="30" customHeight="1" x14ac:dyDescent="0.35">
      <c r="A69" s="244"/>
      <c r="B69" s="282">
        <v>48</v>
      </c>
      <c r="C69" s="272">
        <f>IF(B69&lt;='1) Project Information'!D$14,(1/(1+'1) Project Information'!D$17)^B69)*'Travel Time Benefits'!E$20,0)</f>
        <v>0</v>
      </c>
      <c r="D69" s="267">
        <f>IF(B69&lt;='1) Project Information'!D$14,(1/(1+'1) Project Information'!D$17)^(B69+'1) Project Information'!$D$15))*('Vehicle Operation Benefits'!E$18),0)</f>
        <v>0</v>
      </c>
      <c r="E69" s="267">
        <f>IF(B69&lt;='1) Project Information'!D$14,(1/(1+'1) Project Information'!D$17)^(B69+'1) Project Information'!$D$15))*'Crash Benefits'!E$67,0)</f>
        <v>0</v>
      </c>
      <c r="F69" s="267">
        <f>IF(B69&lt;='1) Project Information'!D$14,(1/(1+'1) Project Information'!D$17)^(B69+'1) Project Information'!$D$15))*'Emission Benefits'!J$25,0)</f>
        <v>0</v>
      </c>
      <c r="G69" s="267">
        <f>IF(B69&lt;='1) Project Information'!$D$14,(1/(1+(IF('1) Project Information'!$E$17&gt;0,'1) Project Information'!$E$17,'1) Project Information'!$D$17)))^B69)*'Reliability Benefits'!$C$33,0)</f>
        <v>0</v>
      </c>
      <c r="H69" s="283">
        <f t="shared" si="4"/>
        <v>0</v>
      </c>
      <c r="I69" s="273">
        <f>'1) Project Information'!I99</f>
        <v>0</v>
      </c>
      <c r="J69" s="283">
        <f t="shared" si="5"/>
        <v>0</v>
      </c>
      <c r="K69" s="248"/>
    </row>
    <row r="70" spans="1:13" ht="30" customHeight="1" x14ac:dyDescent="0.35">
      <c r="A70" s="244"/>
      <c r="B70" s="282">
        <v>49</v>
      </c>
      <c r="C70" s="272">
        <f>IF(B70&lt;='1) Project Information'!D$14,(1/(1+'1) Project Information'!D$17)^B70)*'Travel Time Benefits'!E$20,0)</f>
        <v>0</v>
      </c>
      <c r="D70" s="267">
        <f>IF(B70&lt;='1) Project Information'!D$14,(1/(1+'1) Project Information'!D$17)^(B70+'1) Project Information'!$D$15))*('Vehicle Operation Benefits'!E$18),0)</f>
        <v>0</v>
      </c>
      <c r="E70" s="267">
        <f>IF(B70&lt;='1) Project Information'!D$14,(1/(1+'1) Project Information'!D$17)^(B70+'1) Project Information'!$D$15))*'Crash Benefits'!E$67,0)</f>
        <v>0</v>
      </c>
      <c r="F70" s="267">
        <f>IF(B70&lt;='1) Project Information'!D$14,(1/(1+'1) Project Information'!D$17)^(B70+'1) Project Information'!$D$15))*'Emission Benefits'!J$25,0)</f>
        <v>0</v>
      </c>
      <c r="G70" s="267">
        <f>IF(B70&lt;='1) Project Information'!$D$14,(1/(1+(IF('1) Project Information'!$E$17&gt;0,'1) Project Information'!$E$17,'1) Project Information'!$D$17)))^B70)*'Reliability Benefits'!$C$33,0)</f>
        <v>0</v>
      </c>
      <c r="H70" s="283">
        <f t="shared" si="4"/>
        <v>0</v>
      </c>
      <c r="I70" s="273">
        <f>'1) Project Information'!I100</f>
        <v>0</v>
      </c>
      <c r="J70" s="283">
        <f t="shared" si="5"/>
        <v>0</v>
      </c>
      <c r="K70" s="248"/>
    </row>
    <row r="71" spans="1:13" ht="30" customHeight="1" x14ac:dyDescent="0.35">
      <c r="A71" s="244"/>
      <c r="B71" s="284">
        <v>50</v>
      </c>
      <c r="C71" s="277">
        <f>IF(B71&lt;='1) Project Information'!D$14,(1/(1+'1) Project Information'!D$17)^B71)*'Travel Time Benefits'!E$20,0)</f>
        <v>0</v>
      </c>
      <c r="D71" s="267">
        <f>IF(B71&lt;='1) Project Information'!D$14,(1/(1+'1) Project Information'!D$17)^(B71+'1) Project Information'!$D$15))*('Vehicle Operation Benefits'!E$18),0)</f>
        <v>0</v>
      </c>
      <c r="E71" s="267">
        <f>IF(B71&lt;='1) Project Information'!D$14,(1/(1+'1) Project Information'!D$17)^(B71+'1) Project Information'!$D$15))*'Crash Benefits'!E$67,0)</f>
        <v>0</v>
      </c>
      <c r="F71" s="267">
        <f>IF(B71&lt;='1) Project Information'!D$14,(1/(1+'1) Project Information'!D$17)^(B71+'1) Project Information'!$D$15))*'Emission Benefits'!J$25,0)</f>
        <v>0</v>
      </c>
      <c r="G71" s="267">
        <f>IF(B71&lt;='1) Project Information'!$D$14,(1/(1+(IF('1) Project Information'!$E$17&gt;0,'1) Project Information'!$E$17,'1) Project Information'!$D$17)))^B71)*'Reliability Benefits'!$C$33,0)</f>
        <v>0</v>
      </c>
      <c r="H71" s="285">
        <f t="shared" si="4"/>
        <v>0</v>
      </c>
      <c r="I71" s="278">
        <f>'1) Project Information'!I101</f>
        <v>0</v>
      </c>
      <c r="J71" s="285">
        <f t="shared" si="5"/>
        <v>0</v>
      </c>
      <c r="K71" s="248"/>
    </row>
    <row r="72" spans="1:13" ht="30" customHeight="1" x14ac:dyDescent="0.35">
      <c r="A72" s="244"/>
      <c r="B72" s="286" t="s">
        <v>29</v>
      </c>
      <c r="C72" s="287">
        <f>SUM(C22:C71)</f>
        <v>0</v>
      </c>
      <c r="D72" s="287">
        <f>SUM(D22:D71)</f>
        <v>0</v>
      </c>
      <c r="E72" s="287">
        <f>SUM(E22:E71)</f>
        <v>0</v>
      </c>
      <c r="F72" s="287">
        <f>SUM(F22:F71)</f>
        <v>0</v>
      </c>
      <c r="G72" s="287">
        <f>SUM(G22:G71)</f>
        <v>0</v>
      </c>
      <c r="H72" s="287">
        <f>SUM(H13:H71)</f>
        <v>0</v>
      </c>
      <c r="I72" s="288">
        <f>SUM(I13:I71)</f>
        <v>0</v>
      </c>
      <c r="J72" s="287">
        <f>SUM(J13:J71)</f>
        <v>0</v>
      </c>
      <c r="K72" s="248"/>
    </row>
    <row r="73" spans="1:13" ht="30" customHeight="1" x14ac:dyDescent="0.35">
      <c r="B73" s="289"/>
      <c r="C73" s="289"/>
      <c r="D73" s="289" t="s">
        <v>17</v>
      </c>
      <c r="E73" s="289"/>
      <c r="F73" s="289"/>
      <c r="G73" s="289"/>
      <c r="H73" s="289"/>
      <c r="I73" s="289"/>
      <c r="J73" s="289"/>
    </row>
    <row r="74" spans="1:13" ht="30" customHeight="1" x14ac:dyDescent="0.35">
      <c r="B74" s="242"/>
      <c r="C74" s="242"/>
      <c r="D74" s="290"/>
      <c r="E74" s="290"/>
      <c r="F74" s="291"/>
      <c r="G74" s="242"/>
      <c r="H74" s="242"/>
      <c r="I74" s="242"/>
      <c r="J74" s="292"/>
    </row>
    <row r="75" spans="1:13" ht="30" customHeight="1" x14ac:dyDescent="0.35">
      <c r="B75" s="67"/>
      <c r="C75" s="467"/>
      <c r="D75" s="468"/>
      <c r="E75" s="468"/>
      <c r="F75" s="469"/>
      <c r="G75" s="467"/>
      <c r="H75" s="467"/>
      <c r="I75" s="292"/>
      <c r="J75" s="292"/>
      <c r="K75" s="294"/>
      <c r="L75" s="294"/>
      <c r="M75" s="294"/>
    </row>
    <row r="76" spans="1:13" ht="30" customHeight="1" x14ac:dyDescent="0.35">
      <c r="B76" s="242"/>
      <c r="C76" s="242"/>
      <c r="D76" s="293" t="s">
        <v>17</v>
      </c>
      <c r="E76" s="290"/>
      <c r="F76" s="295"/>
      <c r="G76" s="242"/>
      <c r="H76" s="242"/>
      <c r="I76" s="242"/>
      <c r="J76" s="242"/>
    </row>
    <row r="79" spans="1:13" x14ac:dyDescent="0.25">
      <c r="C79" s="296"/>
    </row>
  </sheetData>
  <sheetProtection algorithmName="SHA-512" hashValue="hY5E7tjP8XcUsPyQ1iR69pXUTsQKMzsKvn0Ue3JEZWzeYddlG+7psdv2W8GNQrQ0p9kZJnXqzGBl+fXKeL8iFg==" saltValue="kRNW5liEaeqNUkBfFlTxBA==" spinCount="100000" sheet="1" objects="1" scenarios="1"/>
  <mergeCells count="1">
    <mergeCell ref="C7:G7"/>
  </mergeCells>
  <pageMargins left="0.7" right="0.7" top="0.75" bottom="0.75" header="0.3" footer="0.3"/>
  <pageSetup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1:AA30"/>
  <sheetViews>
    <sheetView zoomScale="50" zoomScaleNormal="50" workbookViewId="0">
      <selection activeCell="C9" sqref="C9"/>
    </sheetView>
  </sheetViews>
  <sheetFormatPr defaultColWidth="9.140625" defaultRowHeight="12.75" x14ac:dyDescent="0.2"/>
  <cols>
    <col min="1" max="1" width="9.140625" style="548"/>
    <col min="2" max="2" width="2.42578125" style="550" customWidth="1"/>
    <col min="3" max="3" width="2.85546875" style="550" customWidth="1"/>
    <col min="4" max="4" width="21.28515625" style="550" customWidth="1"/>
    <col min="5" max="5" width="9.7109375" style="550" customWidth="1"/>
    <col min="6" max="6" width="61.28515625" style="550" customWidth="1"/>
    <col min="7" max="7" width="2.42578125" style="550" customWidth="1"/>
    <col min="8" max="8" width="3" style="550" customWidth="1"/>
    <col min="9" max="9" width="21.28515625" style="550" customWidth="1"/>
    <col min="10" max="10" width="65" style="550" customWidth="1"/>
    <col min="11" max="11" width="2.42578125" style="550" customWidth="1"/>
    <col min="12" max="225" width="9.140625" style="548"/>
    <col min="226" max="226" width="2.42578125" style="548" customWidth="1"/>
    <col min="227" max="227" width="2.85546875" style="548" customWidth="1"/>
    <col min="228" max="228" width="21.28515625" style="548" customWidth="1"/>
    <col min="229" max="229" width="34.85546875" style="548" customWidth="1"/>
    <col min="230" max="230" width="2.42578125" style="548" customWidth="1"/>
    <col min="231" max="231" width="3" style="548" customWidth="1"/>
    <col min="232" max="232" width="21.28515625" style="548" customWidth="1"/>
    <col min="233" max="233" width="35" style="548" customWidth="1"/>
    <col min="234" max="234" width="2.42578125" style="548" customWidth="1"/>
    <col min="235" max="235" width="2.85546875" style="548" customWidth="1"/>
    <col min="236" max="236" width="21.28515625" style="548" customWidth="1"/>
    <col min="237" max="237" width="34.85546875" style="548" customWidth="1"/>
    <col min="238" max="238" width="2.42578125" style="548" customWidth="1"/>
    <col min="239" max="239" width="2.85546875" style="548" customWidth="1"/>
    <col min="240" max="240" width="21.28515625" style="548" customWidth="1"/>
    <col min="241" max="241" width="34.85546875" style="548" customWidth="1"/>
    <col min="242" max="242" width="2.42578125" style="548" customWidth="1"/>
    <col min="243" max="243" width="2.85546875" style="548" customWidth="1"/>
    <col min="244" max="244" width="21.28515625" style="548" customWidth="1"/>
    <col min="245" max="245" width="34.85546875" style="548" customWidth="1"/>
    <col min="246" max="246" width="2.42578125" style="548" customWidth="1"/>
    <col min="247" max="247" width="2.85546875" style="548" customWidth="1"/>
    <col min="248" max="248" width="21.28515625" style="548" customWidth="1"/>
    <col min="249" max="249" width="34.85546875" style="548" customWidth="1"/>
    <col min="250" max="250" width="2.42578125" style="548" customWidth="1"/>
    <col min="251" max="251" width="2.85546875" style="548" customWidth="1"/>
    <col min="252" max="252" width="21.28515625" style="548" customWidth="1"/>
    <col min="253" max="253" width="34.85546875" style="548" customWidth="1"/>
    <col min="254" max="254" width="2.42578125" style="548" customWidth="1"/>
    <col min="255" max="255" width="2.85546875" style="548" customWidth="1"/>
    <col min="256" max="256" width="21.28515625" style="548" customWidth="1"/>
    <col min="257" max="257" width="34.85546875" style="548" customWidth="1"/>
    <col min="258" max="258" width="2.42578125" style="548" customWidth="1"/>
    <col min="259" max="259" width="2.85546875" style="548" customWidth="1"/>
    <col min="260" max="260" width="21.28515625" style="548" customWidth="1"/>
    <col min="261" max="261" width="34.7109375" style="548" customWidth="1"/>
    <col min="262" max="262" width="2.42578125" style="548" customWidth="1"/>
    <col min="263" max="263" width="2.85546875" style="548" customWidth="1"/>
    <col min="264" max="264" width="13.42578125" style="548" customWidth="1"/>
    <col min="265" max="265" width="42.85546875" style="548" customWidth="1"/>
    <col min="266" max="481" width="9.140625" style="548"/>
    <col min="482" max="482" width="2.42578125" style="548" customWidth="1"/>
    <col min="483" max="483" width="2.85546875" style="548" customWidth="1"/>
    <col min="484" max="484" width="21.28515625" style="548" customWidth="1"/>
    <col min="485" max="485" width="34.85546875" style="548" customWidth="1"/>
    <col min="486" max="486" width="2.42578125" style="548" customWidth="1"/>
    <col min="487" max="487" width="3" style="548" customWidth="1"/>
    <col min="488" max="488" width="21.28515625" style="548" customWidth="1"/>
    <col min="489" max="489" width="35" style="548" customWidth="1"/>
    <col min="490" max="490" width="2.42578125" style="548" customWidth="1"/>
    <col min="491" max="491" width="2.85546875" style="548" customWidth="1"/>
    <col min="492" max="492" width="21.28515625" style="548" customWidth="1"/>
    <col min="493" max="493" width="34.85546875" style="548" customWidth="1"/>
    <col min="494" max="494" width="2.42578125" style="548" customWidth="1"/>
    <col min="495" max="495" width="2.85546875" style="548" customWidth="1"/>
    <col min="496" max="496" width="21.28515625" style="548" customWidth="1"/>
    <col min="497" max="497" width="34.85546875" style="548" customWidth="1"/>
    <col min="498" max="498" width="2.42578125" style="548" customWidth="1"/>
    <col min="499" max="499" width="2.85546875" style="548" customWidth="1"/>
    <col min="500" max="500" width="21.28515625" style="548" customWidth="1"/>
    <col min="501" max="501" width="34.85546875" style="548" customWidth="1"/>
    <col min="502" max="502" width="2.42578125" style="548" customWidth="1"/>
    <col min="503" max="503" width="2.85546875" style="548" customWidth="1"/>
    <col min="504" max="504" width="21.28515625" style="548" customWidth="1"/>
    <col min="505" max="505" width="34.85546875" style="548" customWidth="1"/>
    <col min="506" max="506" width="2.42578125" style="548" customWidth="1"/>
    <col min="507" max="507" width="2.85546875" style="548" customWidth="1"/>
    <col min="508" max="508" width="21.28515625" style="548" customWidth="1"/>
    <col min="509" max="509" width="34.85546875" style="548" customWidth="1"/>
    <col min="510" max="510" width="2.42578125" style="548" customWidth="1"/>
    <col min="511" max="511" width="2.85546875" style="548" customWidth="1"/>
    <col min="512" max="512" width="21.28515625" style="548" customWidth="1"/>
    <col min="513" max="513" width="34.85546875" style="548" customWidth="1"/>
    <col min="514" max="514" width="2.42578125" style="548" customWidth="1"/>
    <col min="515" max="515" width="2.85546875" style="548" customWidth="1"/>
    <col min="516" max="516" width="21.28515625" style="548" customWidth="1"/>
    <col min="517" max="517" width="34.7109375" style="548" customWidth="1"/>
    <col min="518" max="518" width="2.42578125" style="548" customWidth="1"/>
    <col min="519" max="519" width="2.85546875" style="548" customWidth="1"/>
    <col min="520" max="520" width="13.42578125" style="548" customWidth="1"/>
    <col min="521" max="521" width="42.85546875" style="548" customWidth="1"/>
    <col min="522" max="737" width="9.140625" style="548"/>
    <col min="738" max="738" width="2.42578125" style="548" customWidth="1"/>
    <col min="739" max="739" width="2.85546875" style="548" customWidth="1"/>
    <col min="740" max="740" width="21.28515625" style="548" customWidth="1"/>
    <col min="741" max="741" width="34.85546875" style="548" customWidth="1"/>
    <col min="742" max="742" width="2.42578125" style="548" customWidth="1"/>
    <col min="743" max="743" width="3" style="548" customWidth="1"/>
    <col min="744" max="744" width="21.28515625" style="548" customWidth="1"/>
    <col min="745" max="745" width="35" style="548" customWidth="1"/>
    <col min="746" max="746" width="2.42578125" style="548" customWidth="1"/>
    <col min="747" max="747" width="2.85546875" style="548" customWidth="1"/>
    <col min="748" max="748" width="21.28515625" style="548" customWidth="1"/>
    <col min="749" max="749" width="34.85546875" style="548" customWidth="1"/>
    <col min="750" max="750" width="2.42578125" style="548" customWidth="1"/>
    <col min="751" max="751" width="2.85546875" style="548" customWidth="1"/>
    <col min="752" max="752" width="21.28515625" style="548" customWidth="1"/>
    <col min="753" max="753" width="34.85546875" style="548" customWidth="1"/>
    <col min="754" max="754" width="2.42578125" style="548" customWidth="1"/>
    <col min="755" max="755" width="2.85546875" style="548" customWidth="1"/>
    <col min="756" max="756" width="21.28515625" style="548" customWidth="1"/>
    <col min="757" max="757" width="34.85546875" style="548" customWidth="1"/>
    <col min="758" max="758" width="2.42578125" style="548" customWidth="1"/>
    <col min="759" max="759" width="2.85546875" style="548" customWidth="1"/>
    <col min="760" max="760" width="21.28515625" style="548" customWidth="1"/>
    <col min="761" max="761" width="34.85546875" style="548" customWidth="1"/>
    <col min="762" max="762" width="2.42578125" style="548" customWidth="1"/>
    <col min="763" max="763" width="2.85546875" style="548" customWidth="1"/>
    <col min="764" max="764" width="21.28515625" style="548" customWidth="1"/>
    <col min="765" max="765" width="34.85546875" style="548" customWidth="1"/>
    <col min="766" max="766" width="2.42578125" style="548" customWidth="1"/>
    <col min="767" max="767" width="2.85546875" style="548" customWidth="1"/>
    <col min="768" max="768" width="21.28515625" style="548" customWidth="1"/>
    <col min="769" max="769" width="34.85546875" style="548" customWidth="1"/>
    <col min="770" max="770" width="2.42578125" style="548" customWidth="1"/>
    <col min="771" max="771" width="2.85546875" style="548" customWidth="1"/>
    <col min="772" max="772" width="21.28515625" style="548" customWidth="1"/>
    <col min="773" max="773" width="34.7109375" style="548" customWidth="1"/>
    <col min="774" max="774" width="2.42578125" style="548" customWidth="1"/>
    <col min="775" max="775" width="2.85546875" style="548" customWidth="1"/>
    <col min="776" max="776" width="13.42578125" style="548" customWidth="1"/>
    <col min="777" max="777" width="42.85546875" style="548" customWidth="1"/>
    <col min="778" max="993" width="9.140625" style="548"/>
    <col min="994" max="994" width="2.42578125" style="548" customWidth="1"/>
    <col min="995" max="995" width="2.85546875" style="548" customWidth="1"/>
    <col min="996" max="996" width="21.28515625" style="548" customWidth="1"/>
    <col min="997" max="997" width="34.85546875" style="548" customWidth="1"/>
    <col min="998" max="998" width="2.42578125" style="548" customWidth="1"/>
    <col min="999" max="999" width="3" style="548" customWidth="1"/>
    <col min="1000" max="1000" width="21.28515625" style="548" customWidth="1"/>
    <col min="1001" max="1001" width="35" style="548" customWidth="1"/>
    <col min="1002" max="1002" width="2.42578125" style="548" customWidth="1"/>
    <col min="1003" max="1003" width="2.85546875" style="548" customWidth="1"/>
    <col min="1004" max="1004" width="21.28515625" style="548" customWidth="1"/>
    <col min="1005" max="1005" width="34.85546875" style="548" customWidth="1"/>
    <col min="1006" max="1006" width="2.42578125" style="548" customWidth="1"/>
    <col min="1007" max="1007" width="2.85546875" style="548" customWidth="1"/>
    <col min="1008" max="1008" width="21.28515625" style="548" customWidth="1"/>
    <col min="1009" max="1009" width="34.85546875" style="548" customWidth="1"/>
    <col min="1010" max="1010" width="2.42578125" style="548" customWidth="1"/>
    <col min="1011" max="1011" width="2.85546875" style="548" customWidth="1"/>
    <col min="1012" max="1012" width="21.28515625" style="548" customWidth="1"/>
    <col min="1013" max="1013" width="34.85546875" style="548" customWidth="1"/>
    <col min="1014" max="1014" width="2.42578125" style="548" customWidth="1"/>
    <col min="1015" max="1015" width="2.85546875" style="548" customWidth="1"/>
    <col min="1016" max="1016" width="21.28515625" style="548" customWidth="1"/>
    <col min="1017" max="1017" width="34.85546875" style="548" customWidth="1"/>
    <col min="1018" max="1018" width="2.42578125" style="548" customWidth="1"/>
    <col min="1019" max="1019" width="2.85546875" style="548" customWidth="1"/>
    <col min="1020" max="1020" width="21.28515625" style="548" customWidth="1"/>
    <col min="1021" max="1021" width="34.85546875" style="548" customWidth="1"/>
    <col min="1022" max="1022" width="2.42578125" style="548" customWidth="1"/>
    <col min="1023" max="1023" width="2.85546875" style="548" customWidth="1"/>
    <col min="1024" max="1024" width="21.28515625" style="548" customWidth="1"/>
    <col min="1025" max="1025" width="34.85546875" style="548" customWidth="1"/>
    <col min="1026" max="1026" width="2.42578125" style="548" customWidth="1"/>
    <col min="1027" max="1027" width="2.85546875" style="548" customWidth="1"/>
    <col min="1028" max="1028" width="21.28515625" style="548" customWidth="1"/>
    <col min="1029" max="1029" width="34.7109375" style="548" customWidth="1"/>
    <col min="1030" max="1030" width="2.42578125" style="548" customWidth="1"/>
    <col min="1031" max="1031" width="2.85546875" style="548" customWidth="1"/>
    <col min="1032" max="1032" width="13.42578125" style="548" customWidth="1"/>
    <col min="1033" max="1033" width="42.85546875" style="548" customWidth="1"/>
    <col min="1034" max="1249" width="9.140625" style="548"/>
    <col min="1250" max="1250" width="2.42578125" style="548" customWidth="1"/>
    <col min="1251" max="1251" width="2.85546875" style="548" customWidth="1"/>
    <col min="1252" max="1252" width="21.28515625" style="548" customWidth="1"/>
    <col min="1253" max="1253" width="34.85546875" style="548" customWidth="1"/>
    <col min="1254" max="1254" width="2.42578125" style="548" customWidth="1"/>
    <col min="1255" max="1255" width="3" style="548" customWidth="1"/>
    <col min="1256" max="1256" width="21.28515625" style="548" customWidth="1"/>
    <col min="1257" max="1257" width="35" style="548" customWidth="1"/>
    <col min="1258" max="1258" width="2.42578125" style="548" customWidth="1"/>
    <col min="1259" max="1259" width="2.85546875" style="548" customWidth="1"/>
    <col min="1260" max="1260" width="21.28515625" style="548" customWidth="1"/>
    <col min="1261" max="1261" width="34.85546875" style="548" customWidth="1"/>
    <col min="1262" max="1262" width="2.42578125" style="548" customWidth="1"/>
    <col min="1263" max="1263" width="2.85546875" style="548" customWidth="1"/>
    <col min="1264" max="1264" width="21.28515625" style="548" customWidth="1"/>
    <col min="1265" max="1265" width="34.85546875" style="548" customWidth="1"/>
    <col min="1266" max="1266" width="2.42578125" style="548" customWidth="1"/>
    <col min="1267" max="1267" width="2.85546875" style="548" customWidth="1"/>
    <col min="1268" max="1268" width="21.28515625" style="548" customWidth="1"/>
    <col min="1269" max="1269" width="34.85546875" style="548" customWidth="1"/>
    <col min="1270" max="1270" width="2.42578125" style="548" customWidth="1"/>
    <col min="1271" max="1271" width="2.85546875" style="548" customWidth="1"/>
    <col min="1272" max="1272" width="21.28515625" style="548" customWidth="1"/>
    <col min="1273" max="1273" width="34.85546875" style="548" customWidth="1"/>
    <col min="1274" max="1274" width="2.42578125" style="548" customWidth="1"/>
    <col min="1275" max="1275" width="2.85546875" style="548" customWidth="1"/>
    <col min="1276" max="1276" width="21.28515625" style="548" customWidth="1"/>
    <col min="1277" max="1277" width="34.85546875" style="548" customWidth="1"/>
    <col min="1278" max="1278" width="2.42578125" style="548" customWidth="1"/>
    <col min="1279" max="1279" width="2.85546875" style="548" customWidth="1"/>
    <col min="1280" max="1280" width="21.28515625" style="548" customWidth="1"/>
    <col min="1281" max="1281" width="34.85546875" style="548" customWidth="1"/>
    <col min="1282" max="1282" width="2.42578125" style="548" customWidth="1"/>
    <col min="1283" max="1283" width="2.85546875" style="548" customWidth="1"/>
    <col min="1284" max="1284" width="21.28515625" style="548" customWidth="1"/>
    <col min="1285" max="1285" width="34.7109375" style="548" customWidth="1"/>
    <col min="1286" max="1286" width="2.42578125" style="548" customWidth="1"/>
    <col min="1287" max="1287" width="2.85546875" style="548" customWidth="1"/>
    <col min="1288" max="1288" width="13.42578125" style="548" customWidth="1"/>
    <col min="1289" max="1289" width="42.85546875" style="548" customWidth="1"/>
    <col min="1290" max="1505" width="9.140625" style="548"/>
    <col min="1506" max="1506" width="2.42578125" style="548" customWidth="1"/>
    <col min="1507" max="1507" width="2.85546875" style="548" customWidth="1"/>
    <col min="1508" max="1508" width="21.28515625" style="548" customWidth="1"/>
    <col min="1509" max="1509" width="34.85546875" style="548" customWidth="1"/>
    <col min="1510" max="1510" width="2.42578125" style="548" customWidth="1"/>
    <col min="1511" max="1511" width="3" style="548" customWidth="1"/>
    <col min="1512" max="1512" width="21.28515625" style="548" customWidth="1"/>
    <col min="1513" max="1513" width="35" style="548" customWidth="1"/>
    <col min="1514" max="1514" width="2.42578125" style="548" customWidth="1"/>
    <col min="1515" max="1515" width="2.85546875" style="548" customWidth="1"/>
    <col min="1516" max="1516" width="21.28515625" style="548" customWidth="1"/>
    <col min="1517" max="1517" width="34.85546875" style="548" customWidth="1"/>
    <col min="1518" max="1518" width="2.42578125" style="548" customWidth="1"/>
    <col min="1519" max="1519" width="2.85546875" style="548" customWidth="1"/>
    <col min="1520" max="1520" width="21.28515625" style="548" customWidth="1"/>
    <col min="1521" max="1521" width="34.85546875" style="548" customWidth="1"/>
    <col min="1522" max="1522" width="2.42578125" style="548" customWidth="1"/>
    <col min="1523" max="1523" width="2.85546875" style="548" customWidth="1"/>
    <col min="1524" max="1524" width="21.28515625" style="548" customWidth="1"/>
    <col min="1525" max="1525" width="34.85546875" style="548" customWidth="1"/>
    <col min="1526" max="1526" width="2.42578125" style="548" customWidth="1"/>
    <col min="1527" max="1527" width="2.85546875" style="548" customWidth="1"/>
    <col min="1528" max="1528" width="21.28515625" style="548" customWidth="1"/>
    <col min="1529" max="1529" width="34.85546875" style="548" customWidth="1"/>
    <col min="1530" max="1530" width="2.42578125" style="548" customWidth="1"/>
    <col min="1531" max="1531" width="2.85546875" style="548" customWidth="1"/>
    <col min="1532" max="1532" width="21.28515625" style="548" customWidth="1"/>
    <col min="1533" max="1533" width="34.85546875" style="548" customWidth="1"/>
    <col min="1534" max="1534" width="2.42578125" style="548" customWidth="1"/>
    <col min="1535" max="1535" width="2.85546875" style="548" customWidth="1"/>
    <col min="1536" max="1536" width="21.28515625" style="548" customWidth="1"/>
    <col min="1537" max="1537" width="34.85546875" style="548" customWidth="1"/>
    <col min="1538" max="1538" width="2.42578125" style="548" customWidth="1"/>
    <col min="1539" max="1539" width="2.85546875" style="548" customWidth="1"/>
    <col min="1540" max="1540" width="21.28515625" style="548" customWidth="1"/>
    <col min="1541" max="1541" width="34.7109375" style="548" customWidth="1"/>
    <col min="1542" max="1542" width="2.42578125" style="548" customWidth="1"/>
    <col min="1543" max="1543" width="2.85546875" style="548" customWidth="1"/>
    <col min="1544" max="1544" width="13.42578125" style="548" customWidth="1"/>
    <col min="1545" max="1545" width="42.85546875" style="548" customWidth="1"/>
    <col min="1546" max="1761" width="9.140625" style="548"/>
    <col min="1762" max="1762" width="2.42578125" style="548" customWidth="1"/>
    <col min="1763" max="1763" width="2.85546875" style="548" customWidth="1"/>
    <col min="1764" max="1764" width="21.28515625" style="548" customWidth="1"/>
    <col min="1765" max="1765" width="34.85546875" style="548" customWidth="1"/>
    <col min="1766" max="1766" width="2.42578125" style="548" customWidth="1"/>
    <col min="1767" max="1767" width="3" style="548" customWidth="1"/>
    <col min="1768" max="1768" width="21.28515625" style="548" customWidth="1"/>
    <col min="1769" max="1769" width="35" style="548" customWidth="1"/>
    <col min="1770" max="1770" width="2.42578125" style="548" customWidth="1"/>
    <col min="1771" max="1771" width="2.85546875" style="548" customWidth="1"/>
    <col min="1772" max="1772" width="21.28515625" style="548" customWidth="1"/>
    <col min="1773" max="1773" width="34.85546875" style="548" customWidth="1"/>
    <col min="1774" max="1774" width="2.42578125" style="548" customWidth="1"/>
    <col min="1775" max="1775" width="2.85546875" style="548" customWidth="1"/>
    <col min="1776" max="1776" width="21.28515625" style="548" customWidth="1"/>
    <col min="1777" max="1777" width="34.85546875" style="548" customWidth="1"/>
    <col min="1778" max="1778" width="2.42578125" style="548" customWidth="1"/>
    <col min="1779" max="1779" width="2.85546875" style="548" customWidth="1"/>
    <col min="1780" max="1780" width="21.28515625" style="548" customWidth="1"/>
    <col min="1781" max="1781" width="34.85546875" style="548" customWidth="1"/>
    <col min="1782" max="1782" width="2.42578125" style="548" customWidth="1"/>
    <col min="1783" max="1783" width="2.85546875" style="548" customWidth="1"/>
    <col min="1784" max="1784" width="21.28515625" style="548" customWidth="1"/>
    <col min="1785" max="1785" width="34.85546875" style="548" customWidth="1"/>
    <col min="1786" max="1786" width="2.42578125" style="548" customWidth="1"/>
    <col min="1787" max="1787" width="2.85546875" style="548" customWidth="1"/>
    <col min="1788" max="1788" width="21.28515625" style="548" customWidth="1"/>
    <col min="1789" max="1789" width="34.85546875" style="548" customWidth="1"/>
    <col min="1790" max="1790" width="2.42578125" style="548" customWidth="1"/>
    <col min="1791" max="1791" width="2.85546875" style="548" customWidth="1"/>
    <col min="1792" max="1792" width="21.28515625" style="548" customWidth="1"/>
    <col min="1793" max="1793" width="34.85546875" style="548" customWidth="1"/>
    <col min="1794" max="1794" width="2.42578125" style="548" customWidth="1"/>
    <col min="1795" max="1795" width="2.85546875" style="548" customWidth="1"/>
    <col min="1796" max="1796" width="21.28515625" style="548" customWidth="1"/>
    <col min="1797" max="1797" width="34.7109375" style="548" customWidth="1"/>
    <col min="1798" max="1798" width="2.42578125" style="548" customWidth="1"/>
    <col min="1799" max="1799" width="2.85546875" style="548" customWidth="1"/>
    <col min="1800" max="1800" width="13.42578125" style="548" customWidth="1"/>
    <col min="1801" max="1801" width="42.85546875" style="548" customWidth="1"/>
    <col min="1802" max="2017" width="9.140625" style="548"/>
    <col min="2018" max="2018" width="2.42578125" style="548" customWidth="1"/>
    <col min="2019" max="2019" width="2.85546875" style="548" customWidth="1"/>
    <col min="2020" max="2020" width="21.28515625" style="548" customWidth="1"/>
    <col min="2021" max="2021" width="34.85546875" style="548" customWidth="1"/>
    <col min="2022" max="2022" width="2.42578125" style="548" customWidth="1"/>
    <col min="2023" max="2023" width="3" style="548" customWidth="1"/>
    <col min="2024" max="2024" width="21.28515625" style="548" customWidth="1"/>
    <col min="2025" max="2025" width="35" style="548" customWidth="1"/>
    <col min="2026" max="2026" width="2.42578125" style="548" customWidth="1"/>
    <col min="2027" max="2027" width="2.85546875" style="548" customWidth="1"/>
    <col min="2028" max="2028" width="21.28515625" style="548" customWidth="1"/>
    <col min="2029" max="2029" width="34.85546875" style="548" customWidth="1"/>
    <col min="2030" max="2030" width="2.42578125" style="548" customWidth="1"/>
    <col min="2031" max="2031" width="2.85546875" style="548" customWidth="1"/>
    <col min="2032" max="2032" width="21.28515625" style="548" customWidth="1"/>
    <col min="2033" max="2033" width="34.85546875" style="548" customWidth="1"/>
    <col min="2034" max="2034" width="2.42578125" style="548" customWidth="1"/>
    <col min="2035" max="2035" width="2.85546875" style="548" customWidth="1"/>
    <col min="2036" max="2036" width="21.28515625" style="548" customWidth="1"/>
    <col min="2037" max="2037" width="34.85546875" style="548" customWidth="1"/>
    <col min="2038" max="2038" width="2.42578125" style="548" customWidth="1"/>
    <col min="2039" max="2039" width="2.85546875" style="548" customWidth="1"/>
    <col min="2040" max="2040" width="21.28515625" style="548" customWidth="1"/>
    <col min="2041" max="2041" width="34.85546875" style="548" customWidth="1"/>
    <col min="2042" max="2042" width="2.42578125" style="548" customWidth="1"/>
    <col min="2043" max="2043" width="2.85546875" style="548" customWidth="1"/>
    <col min="2044" max="2044" width="21.28515625" style="548" customWidth="1"/>
    <col min="2045" max="2045" width="34.85546875" style="548" customWidth="1"/>
    <col min="2046" max="2046" width="2.42578125" style="548" customWidth="1"/>
    <col min="2047" max="2047" width="2.85546875" style="548" customWidth="1"/>
    <col min="2048" max="2048" width="21.28515625" style="548" customWidth="1"/>
    <col min="2049" max="2049" width="34.85546875" style="548" customWidth="1"/>
    <col min="2050" max="2050" width="2.42578125" style="548" customWidth="1"/>
    <col min="2051" max="2051" width="2.85546875" style="548" customWidth="1"/>
    <col min="2052" max="2052" width="21.28515625" style="548" customWidth="1"/>
    <col min="2053" max="2053" width="34.7109375" style="548" customWidth="1"/>
    <col min="2054" max="2054" width="2.42578125" style="548" customWidth="1"/>
    <col min="2055" max="2055" width="2.85546875" style="548" customWidth="1"/>
    <col min="2056" max="2056" width="13.42578125" style="548" customWidth="1"/>
    <col min="2057" max="2057" width="42.85546875" style="548" customWidth="1"/>
    <col min="2058" max="2273" width="9.140625" style="548"/>
    <col min="2274" max="2274" width="2.42578125" style="548" customWidth="1"/>
    <col min="2275" max="2275" width="2.85546875" style="548" customWidth="1"/>
    <col min="2276" max="2276" width="21.28515625" style="548" customWidth="1"/>
    <col min="2277" max="2277" width="34.85546875" style="548" customWidth="1"/>
    <col min="2278" max="2278" width="2.42578125" style="548" customWidth="1"/>
    <col min="2279" max="2279" width="3" style="548" customWidth="1"/>
    <col min="2280" max="2280" width="21.28515625" style="548" customWidth="1"/>
    <col min="2281" max="2281" width="35" style="548" customWidth="1"/>
    <col min="2282" max="2282" width="2.42578125" style="548" customWidth="1"/>
    <col min="2283" max="2283" width="2.85546875" style="548" customWidth="1"/>
    <col min="2284" max="2284" width="21.28515625" style="548" customWidth="1"/>
    <col min="2285" max="2285" width="34.85546875" style="548" customWidth="1"/>
    <col min="2286" max="2286" width="2.42578125" style="548" customWidth="1"/>
    <col min="2287" max="2287" width="2.85546875" style="548" customWidth="1"/>
    <col min="2288" max="2288" width="21.28515625" style="548" customWidth="1"/>
    <col min="2289" max="2289" width="34.85546875" style="548" customWidth="1"/>
    <col min="2290" max="2290" width="2.42578125" style="548" customWidth="1"/>
    <col min="2291" max="2291" width="2.85546875" style="548" customWidth="1"/>
    <col min="2292" max="2292" width="21.28515625" style="548" customWidth="1"/>
    <col min="2293" max="2293" width="34.85546875" style="548" customWidth="1"/>
    <col min="2294" max="2294" width="2.42578125" style="548" customWidth="1"/>
    <col min="2295" max="2295" width="2.85546875" style="548" customWidth="1"/>
    <col min="2296" max="2296" width="21.28515625" style="548" customWidth="1"/>
    <col min="2297" max="2297" width="34.85546875" style="548" customWidth="1"/>
    <col min="2298" max="2298" width="2.42578125" style="548" customWidth="1"/>
    <col min="2299" max="2299" width="2.85546875" style="548" customWidth="1"/>
    <col min="2300" max="2300" width="21.28515625" style="548" customWidth="1"/>
    <col min="2301" max="2301" width="34.85546875" style="548" customWidth="1"/>
    <col min="2302" max="2302" width="2.42578125" style="548" customWidth="1"/>
    <col min="2303" max="2303" width="2.85546875" style="548" customWidth="1"/>
    <col min="2304" max="2304" width="21.28515625" style="548" customWidth="1"/>
    <col min="2305" max="2305" width="34.85546875" style="548" customWidth="1"/>
    <col min="2306" max="2306" width="2.42578125" style="548" customWidth="1"/>
    <col min="2307" max="2307" width="2.85546875" style="548" customWidth="1"/>
    <col min="2308" max="2308" width="21.28515625" style="548" customWidth="1"/>
    <col min="2309" max="2309" width="34.7109375" style="548" customWidth="1"/>
    <col min="2310" max="2310" width="2.42578125" style="548" customWidth="1"/>
    <col min="2311" max="2311" width="2.85546875" style="548" customWidth="1"/>
    <col min="2312" max="2312" width="13.42578125" style="548" customWidth="1"/>
    <col min="2313" max="2313" width="42.85546875" style="548" customWidth="1"/>
    <col min="2314" max="2529" width="9.140625" style="548"/>
    <col min="2530" max="2530" width="2.42578125" style="548" customWidth="1"/>
    <col min="2531" max="2531" width="2.85546875" style="548" customWidth="1"/>
    <col min="2532" max="2532" width="21.28515625" style="548" customWidth="1"/>
    <col min="2533" max="2533" width="34.85546875" style="548" customWidth="1"/>
    <col min="2534" max="2534" width="2.42578125" style="548" customWidth="1"/>
    <col min="2535" max="2535" width="3" style="548" customWidth="1"/>
    <col min="2536" max="2536" width="21.28515625" style="548" customWidth="1"/>
    <col min="2537" max="2537" width="35" style="548" customWidth="1"/>
    <col min="2538" max="2538" width="2.42578125" style="548" customWidth="1"/>
    <col min="2539" max="2539" width="2.85546875" style="548" customWidth="1"/>
    <col min="2540" max="2540" width="21.28515625" style="548" customWidth="1"/>
    <col min="2541" max="2541" width="34.85546875" style="548" customWidth="1"/>
    <col min="2542" max="2542" width="2.42578125" style="548" customWidth="1"/>
    <col min="2543" max="2543" width="2.85546875" style="548" customWidth="1"/>
    <col min="2544" max="2544" width="21.28515625" style="548" customWidth="1"/>
    <col min="2545" max="2545" width="34.85546875" style="548" customWidth="1"/>
    <col min="2546" max="2546" width="2.42578125" style="548" customWidth="1"/>
    <col min="2547" max="2547" width="2.85546875" style="548" customWidth="1"/>
    <col min="2548" max="2548" width="21.28515625" style="548" customWidth="1"/>
    <col min="2549" max="2549" width="34.85546875" style="548" customWidth="1"/>
    <col min="2550" max="2550" width="2.42578125" style="548" customWidth="1"/>
    <col min="2551" max="2551" width="2.85546875" style="548" customWidth="1"/>
    <col min="2552" max="2552" width="21.28515625" style="548" customWidth="1"/>
    <col min="2553" max="2553" width="34.85546875" style="548" customWidth="1"/>
    <col min="2554" max="2554" width="2.42578125" style="548" customWidth="1"/>
    <col min="2555" max="2555" width="2.85546875" style="548" customWidth="1"/>
    <col min="2556" max="2556" width="21.28515625" style="548" customWidth="1"/>
    <col min="2557" max="2557" width="34.85546875" style="548" customWidth="1"/>
    <col min="2558" max="2558" width="2.42578125" style="548" customWidth="1"/>
    <col min="2559" max="2559" width="2.85546875" style="548" customWidth="1"/>
    <col min="2560" max="2560" width="21.28515625" style="548" customWidth="1"/>
    <col min="2561" max="2561" width="34.85546875" style="548" customWidth="1"/>
    <col min="2562" max="2562" width="2.42578125" style="548" customWidth="1"/>
    <col min="2563" max="2563" width="2.85546875" style="548" customWidth="1"/>
    <col min="2564" max="2564" width="21.28515625" style="548" customWidth="1"/>
    <col min="2565" max="2565" width="34.7109375" style="548" customWidth="1"/>
    <col min="2566" max="2566" width="2.42578125" style="548" customWidth="1"/>
    <col min="2567" max="2567" width="2.85546875" style="548" customWidth="1"/>
    <col min="2568" max="2568" width="13.42578125" style="548" customWidth="1"/>
    <col min="2569" max="2569" width="42.85546875" style="548" customWidth="1"/>
    <col min="2570" max="2785" width="9.140625" style="548"/>
    <col min="2786" max="2786" width="2.42578125" style="548" customWidth="1"/>
    <col min="2787" max="2787" width="2.85546875" style="548" customWidth="1"/>
    <col min="2788" max="2788" width="21.28515625" style="548" customWidth="1"/>
    <col min="2789" max="2789" width="34.85546875" style="548" customWidth="1"/>
    <col min="2790" max="2790" width="2.42578125" style="548" customWidth="1"/>
    <col min="2791" max="2791" width="3" style="548" customWidth="1"/>
    <col min="2792" max="2792" width="21.28515625" style="548" customWidth="1"/>
    <col min="2793" max="2793" width="35" style="548" customWidth="1"/>
    <col min="2794" max="2794" width="2.42578125" style="548" customWidth="1"/>
    <col min="2795" max="2795" width="2.85546875" style="548" customWidth="1"/>
    <col min="2796" max="2796" width="21.28515625" style="548" customWidth="1"/>
    <col min="2797" max="2797" width="34.85546875" style="548" customWidth="1"/>
    <col min="2798" max="2798" width="2.42578125" style="548" customWidth="1"/>
    <col min="2799" max="2799" width="2.85546875" style="548" customWidth="1"/>
    <col min="2800" max="2800" width="21.28515625" style="548" customWidth="1"/>
    <col min="2801" max="2801" width="34.85546875" style="548" customWidth="1"/>
    <col min="2802" max="2802" width="2.42578125" style="548" customWidth="1"/>
    <col min="2803" max="2803" width="2.85546875" style="548" customWidth="1"/>
    <col min="2804" max="2804" width="21.28515625" style="548" customWidth="1"/>
    <col min="2805" max="2805" width="34.85546875" style="548" customWidth="1"/>
    <col min="2806" max="2806" width="2.42578125" style="548" customWidth="1"/>
    <col min="2807" max="2807" width="2.85546875" style="548" customWidth="1"/>
    <col min="2808" max="2808" width="21.28515625" style="548" customWidth="1"/>
    <col min="2809" max="2809" width="34.85546875" style="548" customWidth="1"/>
    <col min="2810" max="2810" width="2.42578125" style="548" customWidth="1"/>
    <col min="2811" max="2811" width="2.85546875" style="548" customWidth="1"/>
    <col min="2812" max="2812" width="21.28515625" style="548" customWidth="1"/>
    <col min="2813" max="2813" width="34.85546875" style="548" customWidth="1"/>
    <col min="2814" max="2814" width="2.42578125" style="548" customWidth="1"/>
    <col min="2815" max="2815" width="2.85546875" style="548" customWidth="1"/>
    <col min="2816" max="2816" width="21.28515625" style="548" customWidth="1"/>
    <col min="2817" max="2817" width="34.85546875" style="548" customWidth="1"/>
    <col min="2818" max="2818" width="2.42578125" style="548" customWidth="1"/>
    <col min="2819" max="2819" width="2.85546875" style="548" customWidth="1"/>
    <col min="2820" max="2820" width="21.28515625" style="548" customWidth="1"/>
    <col min="2821" max="2821" width="34.7109375" style="548" customWidth="1"/>
    <col min="2822" max="2822" width="2.42578125" style="548" customWidth="1"/>
    <col min="2823" max="2823" width="2.85546875" style="548" customWidth="1"/>
    <col min="2824" max="2824" width="13.42578125" style="548" customWidth="1"/>
    <col min="2825" max="2825" width="42.85546875" style="548" customWidth="1"/>
    <col min="2826" max="3041" width="9.140625" style="548"/>
    <col min="3042" max="3042" width="2.42578125" style="548" customWidth="1"/>
    <col min="3043" max="3043" width="2.85546875" style="548" customWidth="1"/>
    <col min="3044" max="3044" width="21.28515625" style="548" customWidth="1"/>
    <col min="3045" max="3045" width="34.85546875" style="548" customWidth="1"/>
    <col min="3046" max="3046" width="2.42578125" style="548" customWidth="1"/>
    <col min="3047" max="3047" width="3" style="548" customWidth="1"/>
    <col min="3048" max="3048" width="21.28515625" style="548" customWidth="1"/>
    <col min="3049" max="3049" width="35" style="548" customWidth="1"/>
    <col min="3050" max="3050" width="2.42578125" style="548" customWidth="1"/>
    <col min="3051" max="3051" width="2.85546875" style="548" customWidth="1"/>
    <col min="3052" max="3052" width="21.28515625" style="548" customWidth="1"/>
    <col min="3053" max="3053" width="34.85546875" style="548" customWidth="1"/>
    <col min="3054" max="3054" width="2.42578125" style="548" customWidth="1"/>
    <col min="3055" max="3055" width="2.85546875" style="548" customWidth="1"/>
    <col min="3056" max="3056" width="21.28515625" style="548" customWidth="1"/>
    <col min="3057" max="3057" width="34.85546875" style="548" customWidth="1"/>
    <col min="3058" max="3058" width="2.42578125" style="548" customWidth="1"/>
    <col min="3059" max="3059" width="2.85546875" style="548" customWidth="1"/>
    <col min="3060" max="3060" width="21.28515625" style="548" customWidth="1"/>
    <col min="3061" max="3061" width="34.85546875" style="548" customWidth="1"/>
    <col min="3062" max="3062" width="2.42578125" style="548" customWidth="1"/>
    <col min="3063" max="3063" width="2.85546875" style="548" customWidth="1"/>
    <col min="3064" max="3064" width="21.28515625" style="548" customWidth="1"/>
    <col min="3065" max="3065" width="34.85546875" style="548" customWidth="1"/>
    <col min="3066" max="3066" width="2.42578125" style="548" customWidth="1"/>
    <col min="3067" max="3067" width="2.85546875" style="548" customWidth="1"/>
    <col min="3068" max="3068" width="21.28515625" style="548" customWidth="1"/>
    <col min="3069" max="3069" width="34.85546875" style="548" customWidth="1"/>
    <col min="3070" max="3070" width="2.42578125" style="548" customWidth="1"/>
    <col min="3071" max="3071" width="2.85546875" style="548" customWidth="1"/>
    <col min="3072" max="3072" width="21.28515625" style="548" customWidth="1"/>
    <col min="3073" max="3073" width="34.85546875" style="548" customWidth="1"/>
    <col min="3074" max="3074" width="2.42578125" style="548" customWidth="1"/>
    <col min="3075" max="3075" width="2.85546875" style="548" customWidth="1"/>
    <col min="3076" max="3076" width="21.28515625" style="548" customWidth="1"/>
    <col min="3077" max="3077" width="34.7109375" style="548" customWidth="1"/>
    <col min="3078" max="3078" width="2.42578125" style="548" customWidth="1"/>
    <col min="3079" max="3079" width="2.85546875" style="548" customWidth="1"/>
    <col min="3080" max="3080" width="13.42578125" style="548" customWidth="1"/>
    <col min="3081" max="3081" width="42.85546875" style="548" customWidth="1"/>
    <col min="3082" max="3297" width="9.140625" style="548"/>
    <col min="3298" max="3298" width="2.42578125" style="548" customWidth="1"/>
    <col min="3299" max="3299" width="2.85546875" style="548" customWidth="1"/>
    <col min="3300" max="3300" width="21.28515625" style="548" customWidth="1"/>
    <col min="3301" max="3301" width="34.85546875" style="548" customWidth="1"/>
    <col min="3302" max="3302" width="2.42578125" style="548" customWidth="1"/>
    <col min="3303" max="3303" width="3" style="548" customWidth="1"/>
    <col min="3304" max="3304" width="21.28515625" style="548" customWidth="1"/>
    <col min="3305" max="3305" width="35" style="548" customWidth="1"/>
    <col min="3306" max="3306" width="2.42578125" style="548" customWidth="1"/>
    <col min="3307" max="3307" width="2.85546875" style="548" customWidth="1"/>
    <col min="3308" max="3308" width="21.28515625" style="548" customWidth="1"/>
    <col min="3309" max="3309" width="34.85546875" style="548" customWidth="1"/>
    <col min="3310" max="3310" width="2.42578125" style="548" customWidth="1"/>
    <col min="3311" max="3311" width="2.85546875" style="548" customWidth="1"/>
    <col min="3312" max="3312" width="21.28515625" style="548" customWidth="1"/>
    <col min="3313" max="3313" width="34.85546875" style="548" customWidth="1"/>
    <col min="3314" max="3314" width="2.42578125" style="548" customWidth="1"/>
    <col min="3315" max="3315" width="2.85546875" style="548" customWidth="1"/>
    <col min="3316" max="3316" width="21.28515625" style="548" customWidth="1"/>
    <col min="3317" max="3317" width="34.85546875" style="548" customWidth="1"/>
    <col min="3318" max="3318" width="2.42578125" style="548" customWidth="1"/>
    <col min="3319" max="3319" width="2.85546875" style="548" customWidth="1"/>
    <col min="3320" max="3320" width="21.28515625" style="548" customWidth="1"/>
    <col min="3321" max="3321" width="34.85546875" style="548" customWidth="1"/>
    <col min="3322" max="3322" width="2.42578125" style="548" customWidth="1"/>
    <col min="3323" max="3323" width="2.85546875" style="548" customWidth="1"/>
    <col min="3324" max="3324" width="21.28515625" style="548" customWidth="1"/>
    <col min="3325" max="3325" width="34.85546875" style="548" customWidth="1"/>
    <col min="3326" max="3326" width="2.42578125" style="548" customWidth="1"/>
    <col min="3327" max="3327" width="2.85546875" style="548" customWidth="1"/>
    <col min="3328" max="3328" width="21.28515625" style="548" customWidth="1"/>
    <col min="3329" max="3329" width="34.85546875" style="548" customWidth="1"/>
    <col min="3330" max="3330" width="2.42578125" style="548" customWidth="1"/>
    <col min="3331" max="3331" width="2.85546875" style="548" customWidth="1"/>
    <col min="3332" max="3332" width="21.28515625" style="548" customWidth="1"/>
    <col min="3333" max="3333" width="34.7109375" style="548" customWidth="1"/>
    <col min="3334" max="3334" width="2.42578125" style="548" customWidth="1"/>
    <col min="3335" max="3335" width="2.85546875" style="548" customWidth="1"/>
    <col min="3336" max="3336" width="13.42578125" style="548" customWidth="1"/>
    <col min="3337" max="3337" width="42.85546875" style="548" customWidth="1"/>
    <col min="3338" max="3553" width="9.140625" style="548"/>
    <col min="3554" max="3554" width="2.42578125" style="548" customWidth="1"/>
    <col min="3555" max="3555" width="2.85546875" style="548" customWidth="1"/>
    <col min="3556" max="3556" width="21.28515625" style="548" customWidth="1"/>
    <col min="3557" max="3557" width="34.85546875" style="548" customWidth="1"/>
    <col min="3558" max="3558" width="2.42578125" style="548" customWidth="1"/>
    <col min="3559" max="3559" width="3" style="548" customWidth="1"/>
    <col min="3560" max="3560" width="21.28515625" style="548" customWidth="1"/>
    <col min="3561" max="3561" width="35" style="548" customWidth="1"/>
    <col min="3562" max="3562" width="2.42578125" style="548" customWidth="1"/>
    <col min="3563" max="3563" width="2.85546875" style="548" customWidth="1"/>
    <col min="3564" max="3564" width="21.28515625" style="548" customWidth="1"/>
    <col min="3565" max="3565" width="34.85546875" style="548" customWidth="1"/>
    <col min="3566" max="3566" width="2.42578125" style="548" customWidth="1"/>
    <col min="3567" max="3567" width="2.85546875" style="548" customWidth="1"/>
    <col min="3568" max="3568" width="21.28515625" style="548" customWidth="1"/>
    <col min="3569" max="3569" width="34.85546875" style="548" customWidth="1"/>
    <col min="3570" max="3570" width="2.42578125" style="548" customWidth="1"/>
    <col min="3571" max="3571" width="2.85546875" style="548" customWidth="1"/>
    <col min="3572" max="3572" width="21.28515625" style="548" customWidth="1"/>
    <col min="3573" max="3573" width="34.85546875" style="548" customWidth="1"/>
    <col min="3574" max="3574" width="2.42578125" style="548" customWidth="1"/>
    <col min="3575" max="3575" width="2.85546875" style="548" customWidth="1"/>
    <col min="3576" max="3576" width="21.28515625" style="548" customWidth="1"/>
    <col min="3577" max="3577" width="34.85546875" style="548" customWidth="1"/>
    <col min="3578" max="3578" width="2.42578125" style="548" customWidth="1"/>
    <col min="3579" max="3579" width="2.85546875" style="548" customWidth="1"/>
    <col min="3580" max="3580" width="21.28515625" style="548" customWidth="1"/>
    <col min="3581" max="3581" width="34.85546875" style="548" customWidth="1"/>
    <col min="3582" max="3582" width="2.42578125" style="548" customWidth="1"/>
    <col min="3583" max="3583" width="2.85546875" style="548" customWidth="1"/>
    <col min="3584" max="3584" width="21.28515625" style="548" customWidth="1"/>
    <col min="3585" max="3585" width="34.85546875" style="548" customWidth="1"/>
    <col min="3586" max="3586" width="2.42578125" style="548" customWidth="1"/>
    <col min="3587" max="3587" width="2.85546875" style="548" customWidth="1"/>
    <col min="3588" max="3588" width="21.28515625" style="548" customWidth="1"/>
    <col min="3589" max="3589" width="34.7109375" style="548" customWidth="1"/>
    <col min="3590" max="3590" width="2.42578125" style="548" customWidth="1"/>
    <col min="3591" max="3591" width="2.85546875" style="548" customWidth="1"/>
    <col min="3592" max="3592" width="13.42578125" style="548" customWidth="1"/>
    <col min="3593" max="3593" width="42.85546875" style="548" customWidth="1"/>
    <col min="3594" max="3809" width="9.140625" style="548"/>
    <col min="3810" max="3810" width="2.42578125" style="548" customWidth="1"/>
    <col min="3811" max="3811" width="2.85546875" style="548" customWidth="1"/>
    <col min="3812" max="3812" width="21.28515625" style="548" customWidth="1"/>
    <col min="3813" max="3813" width="34.85546875" style="548" customWidth="1"/>
    <col min="3814" max="3814" width="2.42578125" style="548" customWidth="1"/>
    <col min="3815" max="3815" width="3" style="548" customWidth="1"/>
    <col min="3816" max="3816" width="21.28515625" style="548" customWidth="1"/>
    <col min="3817" max="3817" width="35" style="548" customWidth="1"/>
    <col min="3818" max="3818" width="2.42578125" style="548" customWidth="1"/>
    <col min="3819" max="3819" width="2.85546875" style="548" customWidth="1"/>
    <col min="3820" max="3820" width="21.28515625" style="548" customWidth="1"/>
    <col min="3821" max="3821" width="34.85546875" style="548" customWidth="1"/>
    <col min="3822" max="3822" width="2.42578125" style="548" customWidth="1"/>
    <col min="3823" max="3823" width="2.85546875" style="548" customWidth="1"/>
    <col min="3824" max="3824" width="21.28515625" style="548" customWidth="1"/>
    <col min="3825" max="3825" width="34.85546875" style="548" customWidth="1"/>
    <col min="3826" max="3826" width="2.42578125" style="548" customWidth="1"/>
    <col min="3827" max="3827" width="2.85546875" style="548" customWidth="1"/>
    <col min="3828" max="3828" width="21.28515625" style="548" customWidth="1"/>
    <col min="3829" max="3829" width="34.85546875" style="548" customWidth="1"/>
    <col min="3830" max="3830" width="2.42578125" style="548" customWidth="1"/>
    <col min="3831" max="3831" width="2.85546875" style="548" customWidth="1"/>
    <col min="3832" max="3832" width="21.28515625" style="548" customWidth="1"/>
    <col min="3833" max="3833" width="34.85546875" style="548" customWidth="1"/>
    <col min="3834" max="3834" width="2.42578125" style="548" customWidth="1"/>
    <col min="3835" max="3835" width="2.85546875" style="548" customWidth="1"/>
    <col min="3836" max="3836" width="21.28515625" style="548" customWidth="1"/>
    <col min="3837" max="3837" width="34.85546875" style="548" customWidth="1"/>
    <col min="3838" max="3838" width="2.42578125" style="548" customWidth="1"/>
    <col min="3839" max="3839" width="2.85546875" style="548" customWidth="1"/>
    <col min="3840" max="3840" width="21.28515625" style="548" customWidth="1"/>
    <col min="3841" max="3841" width="34.85546875" style="548" customWidth="1"/>
    <col min="3842" max="3842" width="2.42578125" style="548" customWidth="1"/>
    <col min="3843" max="3843" width="2.85546875" style="548" customWidth="1"/>
    <col min="3844" max="3844" width="21.28515625" style="548" customWidth="1"/>
    <col min="3845" max="3845" width="34.7109375" style="548" customWidth="1"/>
    <col min="3846" max="3846" width="2.42578125" style="548" customWidth="1"/>
    <col min="3847" max="3847" width="2.85546875" style="548" customWidth="1"/>
    <col min="3848" max="3848" width="13.42578125" style="548" customWidth="1"/>
    <col min="3849" max="3849" width="42.85546875" style="548" customWidth="1"/>
    <col min="3850" max="4065" width="9.140625" style="548"/>
    <col min="4066" max="4066" width="2.42578125" style="548" customWidth="1"/>
    <col min="4067" max="4067" width="2.85546875" style="548" customWidth="1"/>
    <col min="4068" max="4068" width="21.28515625" style="548" customWidth="1"/>
    <col min="4069" max="4069" width="34.85546875" style="548" customWidth="1"/>
    <col min="4070" max="4070" width="2.42578125" style="548" customWidth="1"/>
    <col min="4071" max="4071" width="3" style="548" customWidth="1"/>
    <col min="4072" max="4072" width="21.28515625" style="548" customWidth="1"/>
    <col min="4073" max="4073" width="35" style="548" customWidth="1"/>
    <col min="4074" max="4074" width="2.42578125" style="548" customWidth="1"/>
    <col min="4075" max="4075" width="2.85546875" style="548" customWidth="1"/>
    <col min="4076" max="4076" width="21.28515625" style="548" customWidth="1"/>
    <col min="4077" max="4077" width="34.85546875" style="548" customWidth="1"/>
    <col min="4078" max="4078" width="2.42578125" style="548" customWidth="1"/>
    <col min="4079" max="4079" width="2.85546875" style="548" customWidth="1"/>
    <col min="4080" max="4080" width="21.28515625" style="548" customWidth="1"/>
    <col min="4081" max="4081" width="34.85546875" style="548" customWidth="1"/>
    <col min="4082" max="4082" width="2.42578125" style="548" customWidth="1"/>
    <col min="4083" max="4083" width="2.85546875" style="548" customWidth="1"/>
    <col min="4084" max="4084" width="21.28515625" style="548" customWidth="1"/>
    <col min="4085" max="4085" width="34.85546875" style="548" customWidth="1"/>
    <col min="4086" max="4086" width="2.42578125" style="548" customWidth="1"/>
    <col min="4087" max="4087" width="2.85546875" style="548" customWidth="1"/>
    <col min="4088" max="4088" width="21.28515625" style="548" customWidth="1"/>
    <col min="4089" max="4089" width="34.85546875" style="548" customWidth="1"/>
    <col min="4090" max="4090" width="2.42578125" style="548" customWidth="1"/>
    <col min="4091" max="4091" width="2.85546875" style="548" customWidth="1"/>
    <col min="4092" max="4092" width="21.28515625" style="548" customWidth="1"/>
    <col min="4093" max="4093" width="34.85546875" style="548" customWidth="1"/>
    <col min="4094" max="4094" width="2.42578125" style="548" customWidth="1"/>
    <col min="4095" max="4095" width="2.85546875" style="548" customWidth="1"/>
    <col min="4096" max="4096" width="21.28515625" style="548" customWidth="1"/>
    <col min="4097" max="4097" width="34.85546875" style="548" customWidth="1"/>
    <col min="4098" max="4098" width="2.42578125" style="548" customWidth="1"/>
    <col min="4099" max="4099" width="2.85546875" style="548" customWidth="1"/>
    <col min="4100" max="4100" width="21.28515625" style="548" customWidth="1"/>
    <col min="4101" max="4101" width="34.7109375" style="548" customWidth="1"/>
    <col min="4102" max="4102" width="2.42578125" style="548" customWidth="1"/>
    <col min="4103" max="4103" width="2.85546875" style="548" customWidth="1"/>
    <col min="4104" max="4104" width="13.42578125" style="548" customWidth="1"/>
    <col min="4105" max="4105" width="42.85546875" style="548" customWidth="1"/>
    <col min="4106" max="4321" width="9.140625" style="548"/>
    <col min="4322" max="4322" width="2.42578125" style="548" customWidth="1"/>
    <col min="4323" max="4323" width="2.85546875" style="548" customWidth="1"/>
    <col min="4324" max="4324" width="21.28515625" style="548" customWidth="1"/>
    <col min="4325" max="4325" width="34.85546875" style="548" customWidth="1"/>
    <col min="4326" max="4326" width="2.42578125" style="548" customWidth="1"/>
    <col min="4327" max="4327" width="3" style="548" customWidth="1"/>
    <col min="4328" max="4328" width="21.28515625" style="548" customWidth="1"/>
    <col min="4329" max="4329" width="35" style="548" customWidth="1"/>
    <col min="4330" max="4330" width="2.42578125" style="548" customWidth="1"/>
    <col min="4331" max="4331" width="2.85546875" style="548" customWidth="1"/>
    <col min="4332" max="4332" width="21.28515625" style="548" customWidth="1"/>
    <col min="4333" max="4333" width="34.85546875" style="548" customWidth="1"/>
    <col min="4334" max="4334" width="2.42578125" style="548" customWidth="1"/>
    <col min="4335" max="4335" width="2.85546875" style="548" customWidth="1"/>
    <col min="4336" max="4336" width="21.28515625" style="548" customWidth="1"/>
    <col min="4337" max="4337" width="34.85546875" style="548" customWidth="1"/>
    <col min="4338" max="4338" width="2.42578125" style="548" customWidth="1"/>
    <col min="4339" max="4339" width="2.85546875" style="548" customWidth="1"/>
    <col min="4340" max="4340" width="21.28515625" style="548" customWidth="1"/>
    <col min="4341" max="4341" width="34.85546875" style="548" customWidth="1"/>
    <col min="4342" max="4342" width="2.42578125" style="548" customWidth="1"/>
    <col min="4343" max="4343" width="2.85546875" style="548" customWidth="1"/>
    <col min="4344" max="4344" width="21.28515625" style="548" customWidth="1"/>
    <col min="4345" max="4345" width="34.85546875" style="548" customWidth="1"/>
    <col min="4346" max="4346" width="2.42578125" style="548" customWidth="1"/>
    <col min="4347" max="4347" width="2.85546875" style="548" customWidth="1"/>
    <col min="4348" max="4348" width="21.28515625" style="548" customWidth="1"/>
    <col min="4349" max="4349" width="34.85546875" style="548" customWidth="1"/>
    <col min="4350" max="4350" width="2.42578125" style="548" customWidth="1"/>
    <col min="4351" max="4351" width="2.85546875" style="548" customWidth="1"/>
    <col min="4352" max="4352" width="21.28515625" style="548" customWidth="1"/>
    <col min="4353" max="4353" width="34.85546875" style="548" customWidth="1"/>
    <col min="4354" max="4354" width="2.42578125" style="548" customWidth="1"/>
    <col min="4355" max="4355" width="2.85546875" style="548" customWidth="1"/>
    <col min="4356" max="4356" width="21.28515625" style="548" customWidth="1"/>
    <col min="4357" max="4357" width="34.7109375" style="548" customWidth="1"/>
    <col min="4358" max="4358" width="2.42578125" style="548" customWidth="1"/>
    <col min="4359" max="4359" width="2.85546875" style="548" customWidth="1"/>
    <col min="4360" max="4360" width="13.42578125" style="548" customWidth="1"/>
    <col min="4361" max="4361" width="42.85546875" style="548" customWidth="1"/>
    <col min="4362" max="4577" width="9.140625" style="548"/>
    <col min="4578" max="4578" width="2.42578125" style="548" customWidth="1"/>
    <col min="4579" max="4579" width="2.85546875" style="548" customWidth="1"/>
    <col min="4580" max="4580" width="21.28515625" style="548" customWidth="1"/>
    <col min="4581" max="4581" width="34.85546875" style="548" customWidth="1"/>
    <col min="4582" max="4582" width="2.42578125" style="548" customWidth="1"/>
    <col min="4583" max="4583" width="3" style="548" customWidth="1"/>
    <col min="4584" max="4584" width="21.28515625" style="548" customWidth="1"/>
    <col min="4585" max="4585" width="35" style="548" customWidth="1"/>
    <col min="4586" max="4586" width="2.42578125" style="548" customWidth="1"/>
    <col min="4587" max="4587" width="2.85546875" style="548" customWidth="1"/>
    <col min="4588" max="4588" width="21.28515625" style="548" customWidth="1"/>
    <col min="4589" max="4589" width="34.85546875" style="548" customWidth="1"/>
    <col min="4590" max="4590" width="2.42578125" style="548" customWidth="1"/>
    <col min="4591" max="4591" width="2.85546875" style="548" customWidth="1"/>
    <col min="4592" max="4592" width="21.28515625" style="548" customWidth="1"/>
    <col min="4593" max="4593" width="34.85546875" style="548" customWidth="1"/>
    <col min="4594" max="4594" width="2.42578125" style="548" customWidth="1"/>
    <col min="4595" max="4595" width="2.85546875" style="548" customWidth="1"/>
    <col min="4596" max="4596" width="21.28515625" style="548" customWidth="1"/>
    <col min="4597" max="4597" width="34.85546875" style="548" customWidth="1"/>
    <col min="4598" max="4598" width="2.42578125" style="548" customWidth="1"/>
    <col min="4599" max="4599" width="2.85546875" style="548" customWidth="1"/>
    <col min="4600" max="4600" width="21.28515625" style="548" customWidth="1"/>
    <col min="4601" max="4601" width="34.85546875" style="548" customWidth="1"/>
    <col min="4602" max="4602" width="2.42578125" style="548" customWidth="1"/>
    <col min="4603" max="4603" width="2.85546875" style="548" customWidth="1"/>
    <col min="4604" max="4604" width="21.28515625" style="548" customWidth="1"/>
    <col min="4605" max="4605" width="34.85546875" style="548" customWidth="1"/>
    <col min="4606" max="4606" width="2.42578125" style="548" customWidth="1"/>
    <col min="4607" max="4607" width="2.85546875" style="548" customWidth="1"/>
    <col min="4608" max="4608" width="21.28515625" style="548" customWidth="1"/>
    <col min="4609" max="4609" width="34.85546875" style="548" customWidth="1"/>
    <col min="4610" max="4610" width="2.42578125" style="548" customWidth="1"/>
    <col min="4611" max="4611" width="2.85546875" style="548" customWidth="1"/>
    <col min="4612" max="4612" width="21.28515625" style="548" customWidth="1"/>
    <col min="4613" max="4613" width="34.7109375" style="548" customWidth="1"/>
    <col min="4614" max="4614" width="2.42578125" style="548" customWidth="1"/>
    <col min="4615" max="4615" width="2.85546875" style="548" customWidth="1"/>
    <col min="4616" max="4616" width="13.42578125" style="548" customWidth="1"/>
    <col min="4617" max="4617" width="42.85546875" style="548" customWidth="1"/>
    <col min="4618" max="4833" width="9.140625" style="548"/>
    <col min="4834" max="4834" width="2.42578125" style="548" customWidth="1"/>
    <col min="4835" max="4835" width="2.85546875" style="548" customWidth="1"/>
    <col min="4836" max="4836" width="21.28515625" style="548" customWidth="1"/>
    <col min="4837" max="4837" width="34.85546875" style="548" customWidth="1"/>
    <col min="4838" max="4838" width="2.42578125" style="548" customWidth="1"/>
    <col min="4839" max="4839" width="3" style="548" customWidth="1"/>
    <col min="4840" max="4840" width="21.28515625" style="548" customWidth="1"/>
    <col min="4841" max="4841" width="35" style="548" customWidth="1"/>
    <col min="4842" max="4842" width="2.42578125" style="548" customWidth="1"/>
    <col min="4843" max="4843" width="2.85546875" style="548" customWidth="1"/>
    <col min="4844" max="4844" width="21.28515625" style="548" customWidth="1"/>
    <col min="4845" max="4845" width="34.85546875" style="548" customWidth="1"/>
    <col min="4846" max="4846" width="2.42578125" style="548" customWidth="1"/>
    <col min="4847" max="4847" width="2.85546875" style="548" customWidth="1"/>
    <col min="4848" max="4848" width="21.28515625" style="548" customWidth="1"/>
    <col min="4849" max="4849" width="34.85546875" style="548" customWidth="1"/>
    <col min="4850" max="4850" width="2.42578125" style="548" customWidth="1"/>
    <col min="4851" max="4851" width="2.85546875" style="548" customWidth="1"/>
    <col min="4852" max="4852" width="21.28515625" style="548" customWidth="1"/>
    <col min="4853" max="4853" width="34.85546875" style="548" customWidth="1"/>
    <col min="4854" max="4854" width="2.42578125" style="548" customWidth="1"/>
    <col min="4855" max="4855" width="2.85546875" style="548" customWidth="1"/>
    <col min="4856" max="4856" width="21.28515625" style="548" customWidth="1"/>
    <col min="4857" max="4857" width="34.85546875" style="548" customWidth="1"/>
    <col min="4858" max="4858" width="2.42578125" style="548" customWidth="1"/>
    <col min="4859" max="4859" width="2.85546875" style="548" customWidth="1"/>
    <col min="4860" max="4860" width="21.28515625" style="548" customWidth="1"/>
    <col min="4861" max="4861" width="34.85546875" style="548" customWidth="1"/>
    <col min="4862" max="4862" width="2.42578125" style="548" customWidth="1"/>
    <col min="4863" max="4863" width="2.85546875" style="548" customWidth="1"/>
    <col min="4864" max="4864" width="21.28515625" style="548" customWidth="1"/>
    <col min="4865" max="4865" width="34.85546875" style="548" customWidth="1"/>
    <col min="4866" max="4866" width="2.42578125" style="548" customWidth="1"/>
    <col min="4867" max="4867" width="2.85546875" style="548" customWidth="1"/>
    <col min="4868" max="4868" width="21.28515625" style="548" customWidth="1"/>
    <col min="4869" max="4869" width="34.7109375" style="548" customWidth="1"/>
    <col min="4870" max="4870" width="2.42578125" style="548" customWidth="1"/>
    <col min="4871" max="4871" width="2.85546875" style="548" customWidth="1"/>
    <col min="4872" max="4872" width="13.42578125" style="548" customWidth="1"/>
    <col min="4873" max="4873" width="42.85546875" style="548" customWidth="1"/>
    <col min="4874" max="5089" width="9.140625" style="548"/>
    <col min="5090" max="5090" width="2.42578125" style="548" customWidth="1"/>
    <col min="5091" max="5091" width="2.85546875" style="548" customWidth="1"/>
    <col min="5092" max="5092" width="21.28515625" style="548" customWidth="1"/>
    <col min="5093" max="5093" width="34.85546875" style="548" customWidth="1"/>
    <col min="5094" max="5094" width="2.42578125" style="548" customWidth="1"/>
    <col min="5095" max="5095" width="3" style="548" customWidth="1"/>
    <col min="5096" max="5096" width="21.28515625" style="548" customWidth="1"/>
    <col min="5097" max="5097" width="35" style="548" customWidth="1"/>
    <col min="5098" max="5098" width="2.42578125" style="548" customWidth="1"/>
    <col min="5099" max="5099" width="2.85546875" style="548" customWidth="1"/>
    <col min="5100" max="5100" width="21.28515625" style="548" customWidth="1"/>
    <col min="5101" max="5101" width="34.85546875" style="548" customWidth="1"/>
    <col min="5102" max="5102" width="2.42578125" style="548" customWidth="1"/>
    <col min="5103" max="5103" width="2.85546875" style="548" customWidth="1"/>
    <col min="5104" max="5104" width="21.28515625" style="548" customWidth="1"/>
    <col min="5105" max="5105" width="34.85546875" style="548" customWidth="1"/>
    <col min="5106" max="5106" width="2.42578125" style="548" customWidth="1"/>
    <col min="5107" max="5107" width="2.85546875" style="548" customWidth="1"/>
    <col min="5108" max="5108" width="21.28515625" style="548" customWidth="1"/>
    <col min="5109" max="5109" width="34.85546875" style="548" customWidth="1"/>
    <col min="5110" max="5110" width="2.42578125" style="548" customWidth="1"/>
    <col min="5111" max="5111" width="2.85546875" style="548" customWidth="1"/>
    <col min="5112" max="5112" width="21.28515625" style="548" customWidth="1"/>
    <col min="5113" max="5113" width="34.85546875" style="548" customWidth="1"/>
    <col min="5114" max="5114" width="2.42578125" style="548" customWidth="1"/>
    <col min="5115" max="5115" width="2.85546875" style="548" customWidth="1"/>
    <col min="5116" max="5116" width="21.28515625" style="548" customWidth="1"/>
    <col min="5117" max="5117" width="34.85546875" style="548" customWidth="1"/>
    <col min="5118" max="5118" width="2.42578125" style="548" customWidth="1"/>
    <col min="5119" max="5119" width="2.85546875" style="548" customWidth="1"/>
    <col min="5120" max="5120" width="21.28515625" style="548" customWidth="1"/>
    <col min="5121" max="5121" width="34.85546875" style="548" customWidth="1"/>
    <col min="5122" max="5122" width="2.42578125" style="548" customWidth="1"/>
    <col min="5123" max="5123" width="2.85546875" style="548" customWidth="1"/>
    <col min="5124" max="5124" width="21.28515625" style="548" customWidth="1"/>
    <col min="5125" max="5125" width="34.7109375" style="548" customWidth="1"/>
    <col min="5126" max="5126" width="2.42578125" style="548" customWidth="1"/>
    <col min="5127" max="5127" width="2.85546875" style="548" customWidth="1"/>
    <col min="5128" max="5128" width="13.42578125" style="548" customWidth="1"/>
    <col min="5129" max="5129" width="42.85546875" style="548" customWidth="1"/>
    <col min="5130" max="5345" width="9.140625" style="548"/>
    <col min="5346" max="5346" width="2.42578125" style="548" customWidth="1"/>
    <col min="5347" max="5347" width="2.85546875" style="548" customWidth="1"/>
    <col min="5348" max="5348" width="21.28515625" style="548" customWidth="1"/>
    <col min="5349" max="5349" width="34.85546875" style="548" customWidth="1"/>
    <col min="5350" max="5350" width="2.42578125" style="548" customWidth="1"/>
    <col min="5351" max="5351" width="3" style="548" customWidth="1"/>
    <col min="5352" max="5352" width="21.28515625" style="548" customWidth="1"/>
    <col min="5353" max="5353" width="35" style="548" customWidth="1"/>
    <col min="5354" max="5354" width="2.42578125" style="548" customWidth="1"/>
    <col min="5355" max="5355" width="2.85546875" style="548" customWidth="1"/>
    <col min="5356" max="5356" width="21.28515625" style="548" customWidth="1"/>
    <col min="5357" max="5357" width="34.85546875" style="548" customWidth="1"/>
    <col min="5358" max="5358" width="2.42578125" style="548" customWidth="1"/>
    <col min="5359" max="5359" width="2.85546875" style="548" customWidth="1"/>
    <col min="5360" max="5360" width="21.28515625" style="548" customWidth="1"/>
    <col min="5361" max="5361" width="34.85546875" style="548" customWidth="1"/>
    <col min="5362" max="5362" width="2.42578125" style="548" customWidth="1"/>
    <col min="5363" max="5363" width="2.85546875" style="548" customWidth="1"/>
    <col min="5364" max="5364" width="21.28515625" style="548" customWidth="1"/>
    <col min="5365" max="5365" width="34.85546875" style="548" customWidth="1"/>
    <col min="5366" max="5366" width="2.42578125" style="548" customWidth="1"/>
    <col min="5367" max="5367" width="2.85546875" style="548" customWidth="1"/>
    <col min="5368" max="5368" width="21.28515625" style="548" customWidth="1"/>
    <col min="5369" max="5369" width="34.85546875" style="548" customWidth="1"/>
    <col min="5370" max="5370" width="2.42578125" style="548" customWidth="1"/>
    <col min="5371" max="5371" width="2.85546875" style="548" customWidth="1"/>
    <col min="5372" max="5372" width="21.28515625" style="548" customWidth="1"/>
    <col min="5373" max="5373" width="34.85546875" style="548" customWidth="1"/>
    <col min="5374" max="5374" width="2.42578125" style="548" customWidth="1"/>
    <col min="5375" max="5375" width="2.85546875" style="548" customWidth="1"/>
    <col min="5376" max="5376" width="21.28515625" style="548" customWidth="1"/>
    <col min="5377" max="5377" width="34.85546875" style="548" customWidth="1"/>
    <col min="5378" max="5378" width="2.42578125" style="548" customWidth="1"/>
    <col min="5379" max="5379" width="2.85546875" style="548" customWidth="1"/>
    <col min="5380" max="5380" width="21.28515625" style="548" customWidth="1"/>
    <col min="5381" max="5381" width="34.7109375" style="548" customWidth="1"/>
    <col min="5382" max="5382" width="2.42578125" style="548" customWidth="1"/>
    <col min="5383" max="5383" width="2.85546875" style="548" customWidth="1"/>
    <col min="5384" max="5384" width="13.42578125" style="548" customWidth="1"/>
    <col min="5385" max="5385" width="42.85546875" style="548" customWidth="1"/>
    <col min="5386" max="5601" width="9.140625" style="548"/>
    <col min="5602" max="5602" width="2.42578125" style="548" customWidth="1"/>
    <col min="5603" max="5603" width="2.85546875" style="548" customWidth="1"/>
    <col min="5604" max="5604" width="21.28515625" style="548" customWidth="1"/>
    <col min="5605" max="5605" width="34.85546875" style="548" customWidth="1"/>
    <col min="5606" max="5606" width="2.42578125" style="548" customWidth="1"/>
    <col min="5607" max="5607" width="3" style="548" customWidth="1"/>
    <col min="5608" max="5608" width="21.28515625" style="548" customWidth="1"/>
    <col min="5609" max="5609" width="35" style="548" customWidth="1"/>
    <col min="5610" max="5610" width="2.42578125" style="548" customWidth="1"/>
    <col min="5611" max="5611" width="2.85546875" style="548" customWidth="1"/>
    <col min="5612" max="5612" width="21.28515625" style="548" customWidth="1"/>
    <col min="5613" max="5613" width="34.85546875" style="548" customWidth="1"/>
    <col min="5614" max="5614" width="2.42578125" style="548" customWidth="1"/>
    <col min="5615" max="5615" width="2.85546875" style="548" customWidth="1"/>
    <col min="5616" max="5616" width="21.28515625" style="548" customWidth="1"/>
    <col min="5617" max="5617" width="34.85546875" style="548" customWidth="1"/>
    <col min="5618" max="5618" width="2.42578125" style="548" customWidth="1"/>
    <col min="5619" max="5619" width="2.85546875" style="548" customWidth="1"/>
    <col min="5620" max="5620" width="21.28515625" style="548" customWidth="1"/>
    <col min="5621" max="5621" width="34.85546875" style="548" customWidth="1"/>
    <col min="5622" max="5622" width="2.42578125" style="548" customWidth="1"/>
    <col min="5623" max="5623" width="2.85546875" style="548" customWidth="1"/>
    <col min="5624" max="5624" width="21.28515625" style="548" customWidth="1"/>
    <col min="5625" max="5625" width="34.85546875" style="548" customWidth="1"/>
    <col min="5626" max="5626" width="2.42578125" style="548" customWidth="1"/>
    <col min="5627" max="5627" width="2.85546875" style="548" customWidth="1"/>
    <col min="5628" max="5628" width="21.28515625" style="548" customWidth="1"/>
    <col min="5629" max="5629" width="34.85546875" style="548" customWidth="1"/>
    <col min="5630" max="5630" width="2.42578125" style="548" customWidth="1"/>
    <col min="5631" max="5631" width="2.85546875" style="548" customWidth="1"/>
    <col min="5632" max="5632" width="21.28515625" style="548" customWidth="1"/>
    <col min="5633" max="5633" width="34.85546875" style="548" customWidth="1"/>
    <col min="5634" max="5634" width="2.42578125" style="548" customWidth="1"/>
    <col min="5635" max="5635" width="2.85546875" style="548" customWidth="1"/>
    <col min="5636" max="5636" width="21.28515625" style="548" customWidth="1"/>
    <col min="5637" max="5637" width="34.7109375" style="548" customWidth="1"/>
    <col min="5638" max="5638" width="2.42578125" style="548" customWidth="1"/>
    <col min="5639" max="5639" width="2.85546875" style="548" customWidth="1"/>
    <col min="5640" max="5640" width="13.42578125" style="548" customWidth="1"/>
    <col min="5641" max="5641" width="42.85546875" style="548" customWidth="1"/>
    <col min="5642" max="5857" width="9.140625" style="548"/>
    <col min="5858" max="5858" width="2.42578125" style="548" customWidth="1"/>
    <col min="5859" max="5859" width="2.85546875" style="548" customWidth="1"/>
    <col min="5860" max="5860" width="21.28515625" style="548" customWidth="1"/>
    <col min="5861" max="5861" width="34.85546875" style="548" customWidth="1"/>
    <col min="5862" max="5862" width="2.42578125" style="548" customWidth="1"/>
    <col min="5863" max="5863" width="3" style="548" customWidth="1"/>
    <col min="5864" max="5864" width="21.28515625" style="548" customWidth="1"/>
    <col min="5865" max="5865" width="35" style="548" customWidth="1"/>
    <col min="5866" max="5866" width="2.42578125" style="548" customWidth="1"/>
    <col min="5867" max="5867" width="2.85546875" style="548" customWidth="1"/>
    <col min="5868" max="5868" width="21.28515625" style="548" customWidth="1"/>
    <col min="5869" max="5869" width="34.85546875" style="548" customWidth="1"/>
    <col min="5870" max="5870" width="2.42578125" style="548" customWidth="1"/>
    <col min="5871" max="5871" width="2.85546875" style="548" customWidth="1"/>
    <col min="5872" max="5872" width="21.28515625" style="548" customWidth="1"/>
    <col min="5873" max="5873" width="34.85546875" style="548" customWidth="1"/>
    <col min="5874" max="5874" width="2.42578125" style="548" customWidth="1"/>
    <col min="5875" max="5875" width="2.85546875" style="548" customWidth="1"/>
    <col min="5876" max="5876" width="21.28515625" style="548" customWidth="1"/>
    <col min="5877" max="5877" width="34.85546875" style="548" customWidth="1"/>
    <col min="5878" max="5878" width="2.42578125" style="548" customWidth="1"/>
    <col min="5879" max="5879" width="2.85546875" style="548" customWidth="1"/>
    <col min="5880" max="5880" width="21.28515625" style="548" customWidth="1"/>
    <col min="5881" max="5881" width="34.85546875" style="548" customWidth="1"/>
    <col min="5882" max="5882" width="2.42578125" style="548" customWidth="1"/>
    <col min="5883" max="5883" width="2.85546875" style="548" customWidth="1"/>
    <col min="5884" max="5884" width="21.28515625" style="548" customWidth="1"/>
    <col min="5885" max="5885" width="34.85546875" style="548" customWidth="1"/>
    <col min="5886" max="5886" width="2.42578125" style="548" customWidth="1"/>
    <col min="5887" max="5887" width="2.85546875" style="548" customWidth="1"/>
    <col min="5888" max="5888" width="21.28515625" style="548" customWidth="1"/>
    <col min="5889" max="5889" width="34.85546875" style="548" customWidth="1"/>
    <col min="5890" max="5890" width="2.42578125" style="548" customWidth="1"/>
    <col min="5891" max="5891" width="2.85546875" style="548" customWidth="1"/>
    <col min="5892" max="5892" width="21.28515625" style="548" customWidth="1"/>
    <col min="5893" max="5893" width="34.7109375" style="548" customWidth="1"/>
    <col min="5894" max="5894" width="2.42578125" style="548" customWidth="1"/>
    <col min="5895" max="5895" width="2.85546875" style="548" customWidth="1"/>
    <col min="5896" max="5896" width="13.42578125" style="548" customWidth="1"/>
    <col min="5897" max="5897" width="42.85546875" style="548" customWidth="1"/>
    <col min="5898" max="6113" width="9.140625" style="548"/>
    <col min="6114" max="6114" width="2.42578125" style="548" customWidth="1"/>
    <col min="6115" max="6115" width="2.85546875" style="548" customWidth="1"/>
    <col min="6116" max="6116" width="21.28515625" style="548" customWidth="1"/>
    <col min="6117" max="6117" width="34.85546875" style="548" customWidth="1"/>
    <col min="6118" max="6118" width="2.42578125" style="548" customWidth="1"/>
    <col min="6119" max="6119" width="3" style="548" customWidth="1"/>
    <col min="6120" max="6120" width="21.28515625" style="548" customWidth="1"/>
    <col min="6121" max="6121" width="35" style="548" customWidth="1"/>
    <col min="6122" max="6122" width="2.42578125" style="548" customWidth="1"/>
    <col min="6123" max="6123" width="2.85546875" style="548" customWidth="1"/>
    <col min="6124" max="6124" width="21.28515625" style="548" customWidth="1"/>
    <col min="6125" max="6125" width="34.85546875" style="548" customWidth="1"/>
    <col min="6126" max="6126" width="2.42578125" style="548" customWidth="1"/>
    <col min="6127" max="6127" width="2.85546875" style="548" customWidth="1"/>
    <col min="6128" max="6128" width="21.28515625" style="548" customWidth="1"/>
    <col min="6129" max="6129" width="34.85546875" style="548" customWidth="1"/>
    <col min="6130" max="6130" width="2.42578125" style="548" customWidth="1"/>
    <col min="6131" max="6131" width="2.85546875" style="548" customWidth="1"/>
    <col min="6132" max="6132" width="21.28515625" style="548" customWidth="1"/>
    <col min="6133" max="6133" width="34.85546875" style="548" customWidth="1"/>
    <col min="6134" max="6134" width="2.42578125" style="548" customWidth="1"/>
    <col min="6135" max="6135" width="2.85546875" style="548" customWidth="1"/>
    <col min="6136" max="6136" width="21.28515625" style="548" customWidth="1"/>
    <col min="6137" max="6137" width="34.85546875" style="548" customWidth="1"/>
    <col min="6138" max="6138" width="2.42578125" style="548" customWidth="1"/>
    <col min="6139" max="6139" width="2.85546875" style="548" customWidth="1"/>
    <col min="6140" max="6140" width="21.28515625" style="548" customWidth="1"/>
    <col min="6141" max="6141" width="34.85546875" style="548" customWidth="1"/>
    <col min="6142" max="6142" width="2.42578125" style="548" customWidth="1"/>
    <col min="6143" max="6143" width="2.85546875" style="548" customWidth="1"/>
    <col min="6144" max="6144" width="21.28515625" style="548" customWidth="1"/>
    <col min="6145" max="6145" width="34.85546875" style="548" customWidth="1"/>
    <col min="6146" max="6146" width="2.42578125" style="548" customWidth="1"/>
    <col min="6147" max="6147" width="2.85546875" style="548" customWidth="1"/>
    <col min="6148" max="6148" width="21.28515625" style="548" customWidth="1"/>
    <col min="6149" max="6149" width="34.7109375" style="548" customWidth="1"/>
    <col min="6150" max="6150" width="2.42578125" style="548" customWidth="1"/>
    <col min="6151" max="6151" width="2.85546875" style="548" customWidth="1"/>
    <col min="6152" max="6152" width="13.42578125" style="548" customWidth="1"/>
    <col min="6153" max="6153" width="42.85546875" style="548" customWidth="1"/>
    <col min="6154" max="6369" width="9.140625" style="548"/>
    <col min="6370" max="6370" width="2.42578125" style="548" customWidth="1"/>
    <col min="6371" max="6371" width="2.85546875" style="548" customWidth="1"/>
    <col min="6372" max="6372" width="21.28515625" style="548" customWidth="1"/>
    <col min="6373" max="6373" width="34.85546875" style="548" customWidth="1"/>
    <col min="6374" max="6374" width="2.42578125" style="548" customWidth="1"/>
    <col min="6375" max="6375" width="3" style="548" customWidth="1"/>
    <col min="6376" max="6376" width="21.28515625" style="548" customWidth="1"/>
    <col min="6377" max="6377" width="35" style="548" customWidth="1"/>
    <col min="6378" max="6378" width="2.42578125" style="548" customWidth="1"/>
    <col min="6379" max="6379" width="2.85546875" style="548" customWidth="1"/>
    <col min="6380" max="6380" width="21.28515625" style="548" customWidth="1"/>
    <col min="6381" max="6381" width="34.85546875" style="548" customWidth="1"/>
    <col min="6382" max="6382" width="2.42578125" style="548" customWidth="1"/>
    <col min="6383" max="6383" width="2.85546875" style="548" customWidth="1"/>
    <col min="6384" max="6384" width="21.28515625" style="548" customWidth="1"/>
    <col min="6385" max="6385" width="34.85546875" style="548" customWidth="1"/>
    <col min="6386" max="6386" width="2.42578125" style="548" customWidth="1"/>
    <col min="6387" max="6387" width="2.85546875" style="548" customWidth="1"/>
    <col min="6388" max="6388" width="21.28515625" style="548" customWidth="1"/>
    <col min="6389" max="6389" width="34.85546875" style="548" customWidth="1"/>
    <col min="6390" max="6390" width="2.42578125" style="548" customWidth="1"/>
    <col min="6391" max="6391" width="2.85546875" style="548" customWidth="1"/>
    <col min="6392" max="6392" width="21.28515625" style="548" customWidth="1"/>
    <col min="6393" max="6393" width="34.85546875" style="548" customWidth="1"/>
    <col min="6394" max="6394" width="2.42578125" style="548" customWidth="1"/>
    <col min="6395" max="6395" width="2.85546875" style="548" customWidth="1"/>
    <col min="6396" max="6396" width="21.28515625" style="548" customWidth="1"/>
    <col min="6397" max="6397" width="34.85546875" style="548" customWidth="1"/>
    <col min="6398" max="6398" width="2.42578125" style="548" customWidth="1"/>
    <col min="6399" max="6399" width="2.85546875" style="548" customWidth="1"/>
    <col min="6400" max="6400" width="21.28515625" style="548" customWidth="1"/>
    <col min="6401" max="6401" width="34.85546875" style="548" customWidth="1"/>
    <col min="6402" max="6402" width="2.42578125" style="548" customWidth="1"/>
    <col min="6403" max="6403" width="2.85546875" style="548" customWidth="1"/>
    <col min="6404" max="6404" width="21.28515625" style="548" customWidth="1"/>
    <col min="6405" max="6405" width="34.7109375" style="548" customWidth="1"/>
    <col min="6406" max="6406" width="2.42578125" style="548" customWidth="1"/>
    <col min="6407" max="6407" width="2.85546875" style="548" customWidth="1"/>
    <col min="6408" max="6408" width="13.42578125" style="548" customWidth="1"/>
    <col min="6409" max="6409" width="42.85546875" style="548" customWidth="1"/>
    <col min="6410" max="6625" width="9.140625" style="548"/>
    <col min="6626" max="6626" width="2.42578125" style="548" customWidth="1"/>
    <col min="6627" max="6627" width="2.85546875" style="548" customWidth="1"/>
    <col min="6628" max="6628" width="21.28515625" style="548" customWidth="1"/>
    <col min="6629" max="6629" width="34.85546875" style="548" customWidth="1"/>
    <col min="6630" max="6630" width="2.42578125" style="548" customWidth="1"/>
    <col min="6631" max="6631" width="3" style="548" customWidth="1"/>
    <col min="6632" max="6632" width="21.28515625" style="548" customWidth="1"/>
    <col min="6633" max="6633" width="35" style="548" customWidth="1"/>
    <col min="6634" max="6634" width="2.42578125" style="548" customWidth="1"/>
    <col min="6635" max="6635" width="2.85546875" style="548" customWidth="1"/>
    <col min="6636" max="6636" width="21.28515625" style="548" customWidth="1"/>
    <col min="6637" max="6637" width="34.85546875" style="548" customWidth="1"/>
    <col min="6638" max="6638" width="2.42578125" style="548" customWidth="1"/>
    <col min="6639" max="6639" width="2.85546875" style="548" customWidth="1"/>
    <col min="6640" max="6640" width="21.28515625" style="548" customWidth="1"/>
    <col min="6641" max="6641" width="34.85546875" style="548" customWidth="1"/>
    <col min="6642" max="6642" width="2.42578125" style="548" customWidth="1"/>
    <col min="6643" max="6643" width="2.85546875" style="548" customWidth="1"/>
    <col min="6644" max="6644" width="21.28515625" style="548" customWidth="1"/>
    <col min="6645" max="6645" width="34.85546875" style="548" customWidth="1"/>
    <col min="6646" max="6646" width="2.42578125" style="548" customWidth="1"/>
    <col min="6647" max="6647" width="2.85546875" style="548" customWidth="1"/>
    <col min="6648" max="6648" width="21.28515625" style="548" customWidth="1"/>
    <col min="6649" max="6649" width="34.85546875" style="548" customWidth="1"/>
    <col min="6650" max="6650" width="2.42578125" style="548" customWidth="1"/>
    <col min="6651" max="6651" width="2.85546875" style="548" customWidth="1"/>
    <col min="6652" max="6652" width="21.28515625" style="548" customWidth="1"/>
    <col min="6653" max="6653" width="34.85546875" style="548" customWidth="1"/>
    <col min="6654" max="6654" width="2.42578125" style="548" customWidth="1"/>
    <col min="6655" max="6655" width="2.85546875" style="548" customWidth="1"/>
    <col min="6656" max="6656" width="21.28515625" style="548" customWidth="1"/>
    <col min="6657" max="6657" width="34.85546875" style="548" customWidth="1"/>
    <col min="6658" max="6658" width="2.42578125" style="548" customWidth="1"/>
    <col min="6659" max="6659" width="2.85546875" style="548" customWidth="1"/>
    <col min="6660" max="6660" width="21.28515625" style="548" customWidth="1"/>
    <col min="6661" max="6661" width="34.7109375" style="548" customWidth="1"/>
    <col min="6662" max="6662" width="2.42578125" style="548" customWidth="1"/>
    <col min="6663" max="6663" width="2.85546875" style="548" customWidth="1"/>
    <col min="6664" max="6664" width="13.42578125" style="548" customWidth="1"/>
    <col min="6665" max="6665" width="42.85546875" style="548" customWidth="1"/>
    <col min="6666" max="6881" width="9.140625" style="548"/>
    <col min="6882" max="6882" width="2.42578125" style="548" customWidth="1"/>
    <col min="6883" max="6883" width="2.85546875" style="548" customWidth="1"/>
    <col min="6884" max="6884" width="21.28515625" style="548" customWidth="1"/>
    <col min="6885" max="6885" width="34.85546875" style="548" customWidth="1"/>
    <col min="6886" max="6886" width="2.42578125" style="548" customWidth="1"/>
    <col min="6887" max="6887" width="3" style="548" customWidth="1"/>
    <col min="6888" max="6888" width="21.28515625" style="548" customWidth="1"/>
    <col min="6889" max="6889" width="35" style="548" customWidth="1"/>
    <col min="6890" max="6890" width="2.42578125" style="548" customWidth="1"/>
    <col min="6891" max="6891" width="2.85546875" style="548" customWidth="1"/>
    <col min="6892" max="6892" width="21.28515625" style="548" customWidth="1"/>
    <col min="6893" max="6893" width="34.85546875" style="548" customWidth="1"/>
    <col min="6894" max="6894" width="2.42578125" style="548" customWidth="1"/>
    <col min="6895" max="6895" width="2.85546875" style="548" customWidth="1"/>
    <col min="6896" max="6896" width="21.28515625" style="548" customWidth="1"/>
    <col min="6897" max="6897" width="34.85546875" style="548" customWidth="1"/>
    <col min="6898" max="6898" width="2.42578125" style="548" customWidth="1"/>
    <col min="6899" max="6899" width="2.85546875" style="548" customWidth="1"/>
    <col min="6900" max="6900" width="21.28515625" style="548" customWidth="1"/>
    <col min="6901" max="6901" width="34.85546875" style="548" customWidth="1"/>
    <col min="6902" max="6902" width="2.42578125" style="548" customWidth="1"/>
    <col min="6903" max="6903" width="2.85546875" style="548" customWidth="1"/>
    <col min="6904" max="6904" width="21.28515625" style="548" customWidth="1"/>
    <col min="6905" max="6905" width="34.85546875" style="548" customWidth="1"/>
    <col min="6906" max="6906" width="2.42578125" style="548" customWidth="1"/>
    <col min="6907" max="6907" width="2.85546875" style="548" customWidth="1"/>
    <col min="6908" max="6908" width="21.28515625" style="548" customWidth="1"/>
    <col min="6909" max="6909" width="34.85546875" style="548" customWidth="1"/>
    <col min="6910" max="6910" width="2.42578125" style="548" customWidth="1"/>
    <col min="6911" max="6911" width="2.85546875" style="548" customWidth="1"/>
    <col min="6912" max="6912" width="21.28515625" style="548" customWidth="1"/>
    <col min="6913" max="6913" width="34.85546875" style="548" customWidth="1"/>
    <col min="6914" max="6914" width="2.42578125" style="548" customWidth="1"/>
    <col min="6915" max="6915" width="2.85546875" style="548" customWidth="1"/>
    <col min="6916" max="6916" width="21.28515625" style="548" customWidth="1"/>
    <col min="6917" max="6917" width="34.7109375" style="548" customWidth="1"/>
    <col min="6918" max="6918" width="2.42578125" style="548" customWidth="1"/>
    <col min="6919" max="6919" width="2.85546875" style="548" customWidth="1"/>
    <col min="6920" max="6920" width="13.42578125" style="548" customWidth="1"/>
    <col min="6921" max="6921" width="42.85546875" style="548" customWidth="1"/>
    <col min="6922" max="7137" width="9.140625" style="548"/>
    <col min="7138" max="7138" width="2.42578125" style="548" customWidth="1"/>
    <col min="7139" max="7139" width="2.85546875" style="548" customWidth="1"/>
    <col min="7140" max="7140" width="21.28515625" style="548" customWidth="1"/>
    <col min="7141" max="7141" width="34.85546875" style="548" customWidth="1"/>
    <col min="7142" max="7142" width="2.42578125" style="548" customWidth="1"/>
    <col min="7143" max="7143" width="3" style="548" customWidth="1"/>
    <col min="7144" max="7144" width="21.28515625" style="548" customWidth="1"/>
    <col min="7145" max="7145" width="35" style="548" customWidth="1"/>
    <col min="7146" max="7146" width="2.42578125" style="548" customWidth="1"/>
    <col min="7147" max="7147" width="2.85546875" style="548" customWidth="1"/>
    <col min="7148" max="7148" width="21.28515625" style="548" customWidth="1"/>
    <col min="7149" max="7149" width="34.85546875" style="548" customWidth="1"/>
    <col min="7150" max="7150" width="2.42578125" style="548" customWidth="1"/>
    <col min="7151" max="7151" width="2.85546875" style="548" customWidth="1"/>
    <col min="7152" max="7152" width="21.28515625" style="548" customWidth="1"/>
    <col min="7153" max="7153" width="34.85546875" style="548" customWidth="1"/>
    <col min="7154" max="7154" width="2.42578125" style="548" customWidth="1"/>
    <col min="7155" max="7155" width="2.85546875" style="548" customWidth="1"/>
    <col min="7156" max="7156" width="21.28515625" style="548" customWidth="1"/>
    <col min="7157" max="7157" width="34.85546875" style="548" customWidth="1"/>
    <col min="7158" max="7158" width="2.42578125" style="548" customWidth="1"/>
    <col min="7159" max="7159" width="2.85546875" style="548" customWidth="1"/>
    <col min="7160" max="7160" width="21.28515625" style="548" customWidth="1"/>
    <col min="7161" max="7161" width="34.85546875" style="548" customWidth="1"/>
    <col min="7162" max="7162" width="2.42578125" style="548" customWidth="1"/>
    <col min="7163" max="7163" width="2.85546875" style="548" customWidth="1"/>
    <col min="7164" max="7164" width="21.28515625" style="548" customWidth="1"/>
    <col min="7165" max="7165" width="34.85546875" style="548" customWidth="1"/>
    <col min="7166" max="7166" width="2.42578125" style="548" customWidth="1"/>
    <col min="7167" max="7167" width="2.85546875" style="548" customWidth="1"/>
    <col min="7168" max="7168" width="21.28515625" style="548" customWidth="1"/>
    <col min="7169" max="7169" width="34.85546875" style="548" customWidth="1"/>
    <col min="7170" max="7170" width="2.42578125" style="548" customWidth="1"/>
    <col min="7171" max="7171" width="2.85546875" style="548" customWidth="1"/>
    <col min="7172" max="7172" width="21.28515625" style="548" customWidth="1"/>
    <col min="7173" max="7173" width="34.7109375" style="548" customWidth="1"/>
    <col min="7174" max="7174" width="2.42578125" style="548" customWidth="1"/>
    <col min="7175" max="7175" width="2.85546875" style="548" customWidth="1"/>
    <col min="7176" max="7176" width="13.42578125" style="548" customWidth="1"/>
    <col min="7177" max="7177" width="42.85546875" style="548" customWidth="1"/>
    <col min="7178" max="7393" width="9.140625" style="548"/>
    <col min="7394" max="7394" width="2.42578125" style="548" customWidth="1"/>
    <col min="7395" max="7395" width="2.85546875" style="548" customWidth="1"/>
    <col min="7396" max="7396" width="21.28515625" style="548" customWidth="1"/>
    <col min="7397" max="7397" width="34.85546875" style="548" customWidth="1"/>
    <col min="7398" max="7398" width="2.42578125" style="548" customWidth="1"/>
    <col min="7399" max="7399" width="3" style="548" customWidth="1"/>
    <col min="7400" max="7400" width="21.28515625" style="548" customWidth="1"/>
    <col min="7401" max="7401" width="35" style="548" customWidth="1"/>
    <col min="7402" max="7402" width="2.42578125" style="548" customWidth="1"/>
    <col min="7403" max="7403" width="2.85546875" style="548" customWidth="1"/>
    <col min="7404" max="7404" width="21.28515625" style="548" customWidth="1"/>
    <col min="7405" max="7405" width="34.85546875" style="548" customWidth="1"/>
    <col min="7406" max="7406" width="2.42578125" style="548" customWidth="1"/>
    <col min="7407" max="7407" width="2.85546875" style="548" customWidth="1"/>
    <col min="7408" max="7408" width="21.28515625" style="548" customWidth="1"/>
    <col min="7409" max="7409" width="34.85546875" style="548" customWidth="1"/>
    <col min="7410" max="7410" width="2.42578125" style="548" customWidth="1"/>
    <col min="7411" max="7411" width="2.85546875" style="548" customWidth="1"/>
    <col min="7412" max="7412" width="21.28515625" style="548" customWidth="1"/>
    <col min="7413" max="7413" width="34.85546875" style="548" customWidth="1"/>
    <col min="7414" max="7414" width="2.42578125" style="548" customWidth="1"/>
    <col min="7415" max="7415" width="2.85546875" style="548" customWidth="1"/>
    <col min="7416" max="7416" width="21.28515625" style="548" customWidth="1"/>
    <col min="7417" max="7417" width="34.85546875" style="548" customWidth="1"/>
    <col min="7418" max="7418" width="2.42578125" style="548" customWidth="1"/>
    <col min="7419" max="7419" width="2.85546875" style="548" customWidth="1"/>
    <col min="7420" max="7420" width="21.28515625" style="548" customWidth="1"/>
    <col min="7421" max="7421" width="34.85546875" style="548" customWidth="1"/>
    <col min="7422" max="7422" width="2.42578125" style="548" customWidth="1"/>
    <col min="7423" max="7423" width="2.85546875" style="548" customWidth="1"/>
    <col min="7424" max="7424" width="21.28515625" style="548" customWidth="1"/>
    <col min="7425" max="7425" width="34.85546875" style="548" customWidth="1"/>
    <col min="7426" max="7426" width="2.42578125" style="548" customWidth="1"/>
    <col min="7427" max="7427" width="2.85546875" style="548" customWidth="1"/>
    <col min="7428" max="7428" width="21.28515625" style="548" customWidth="1"/>
    <col min="7429" max="7429" width="34.7109375" style="548" customWidth="1"/>
    <col min="7430" max="7430" width="2.42578125" style="548" customWidth="1"/>
    <col min="7431" max="7431" width="2.85546875" style="548" customWidth="1"/>
    <col min="7432" max="7432" width="13.42578125" style="548" customWidth="1"/>
    <col min="7433" max="7433" width="42.85546875" style="548" customWidth="1"/>
    <col min="7434" max="7649" width="9.140625" style="548"/>
    <col min="7650" max="7650" width="2.42578125" style="548" customWidth="1"/>
    <col min="7651" max="7651" width="2.85546875" style="548" customWidth="1"/>
    <col min="7652" max="7652" width="21.28515625" style="548" customWidth="1"/>
    <col min="7653" max="7653" width="34.85546875" style="548" customWidth="1"/>
    <col min="7654" max="7654" width="2.42578125" style="548" customWidth="1"/>
    <col min="7655" max="7655" width="3" style="548" customWidth="1"/>
    <col min="7656" max="7656" width="21.28515625" style="548" customWidth="1"/>
    <col min="7657" max="7657" width="35" style="548" customWidth="1"/>
    <col min="7658" max="7658" width="2.42578125" style="548" customWidth="1"/>
    <col min="7659" max="7659" width="2.85546875" style="548" customWidth="1"/>
    <col min="7660" max="7660" width="21.28515625" style="548" customWidth="1"/>
    <col min="7661" max="7661" width="34.85546875" style="548" customWidth="1"/>
    <col min="7662" max="7662" width="2.42578125" style="548" customWidth="1"/>
    <col min="7663" max="7663" width="2.85546875" style="548" customWidth="1"/>
    <col min="7664" max="7664" width="21.28515625" style="548" customWidth="1"/>
    <col min="7665" max="7665" width="34.85546875" style="548" customWidth="1"/>
    <col min="7666" max="7666" width="2.42578125" style="548" customWidth="1"/>
    <col min="7667" max="7667" width="2.85546875" style="548" customWidth="1"/>
    <col min="7668" max="7668" width="21.28515625" style="548" customWidth="1"/>
    <col min="7669" max="7669" width="34.85546875" style="548" customWidth="1"/>
    <col min="7670" max="7670" width="2.42578125" style="548" customWidth="1"/>
    <col min="7671" max="7671" width="2.85546875" style="548" customWidth="1"/>
    <col min="7672" max="7672" width="21.28515625" style="548" customWidth="1"/>
    <col min="7673" max="7673" width="34.85546875" style="548" customWidth="1"/>
    <col min="7674" max="7674" width="2.42578125" style="548" customWidth="1"/>
    <col min="7675" max="7675" width="2.85546875" style="548" customWidth="1"/>
    <col min="7676" max="7676" width="21.28515625" style="548" customWidth="1"/>
    <col min="7677" max="7677" width="34.85546875" style="548" customWidth="1"/>
    <col min="7678" max="7678" width="2.42578125" style="548" customWidth="1"/>
    <col min="7679" max="7679" width="2.85546875" style="548" customWidth="1"/>
    <col min="7680" max="7680" width="21.28515625" style="548" customWidth="1"/>
    <col min="7681" max="7681" width="34.85546875" style="548" customWidth="1"/>
    <col min="7682" max="7682" width="2.42578125" style="548" customWidth="1"/>
    <col min="7683" max="7683" width="2.85546875" style="548" customWidth="1"/>
    <col min="7684" max="7684" width="21.28515625" style="548" customWidth="1"/>
    <col min="7685" max="7685" width="34.7109375" style="548" customWidth="1"/>
    <col min="7686" max="7686" width="2.42578125" style="548" customWidth="1"/>
    <col min="7687" max="7687" width="2.85546875" style="548" customWidth="1"/>
    <col min="7688" max="7688" width="13.42578125" style="548" customWidth="1"/>
    <col min="7689" max="7689" width="42.85546875" style="548" customWidth="1"/>
    <col min="7690" max="7905" width="9.140625" style="548"/>
    <col min="7906" max="7906" width="2.42578125" style="548" customWidth="1"/>
    <col min="7907" max="7907" width="2.85546875" style="548" customWidth="1"/>
    <col min="7908" max="7908" width="21.28515625" style="548" customWidth="1"/>
    <col min="7909" max="7909" width="34.85546875" style="548" customWidth="1"/>
    <col min="7910" max="7910" width="2.42578125" style="548" customWidth="1"/>
    <col min="7911" max="7911" width="3" style="548" customWidth="1"/>
    <col min="7912" max="7912" width="21.28515625" style="548" customWidth="1"/>
    <col min="7913" max="7913" width="35" style="548" customWidth="1"/>
    <col min="7914" max="7914" width="2.42578125" style="548" customWidth="1"/>
    <col min="7915" max="7915" width="2.85546875" style="548" customWidth="1"/>
    <col min="7916" max="7916" width="21.28515625" style="548" customWidth="1"/>
    <col min="7917" max="7917" width="34.85546875" style="548" customWidth="1"/>
    <col min="7918" max="7918" width="2.42578125" style="548" customWidth="1"/>
    <col min="7919" max="7919" width="2.85546875" style="548" customWidth="1"/>
    <col min="7920" max="7920" width="21.28515625" style="548" customWidth="1"/>
    <col min="7921" max="7921" width="34.85546875" style="548" customWidth="1"/>
    <col min="7922" max="7922" width="2.42578125" style="548" customWidth="1"/>
    <col min="7923" max="7923" width="2.85546875" style="548" customWidth="1"/>
    <col min="7924" max="7924" width="21.28515625" style="548" customWidth="1"/>
    <col min="7925" max="7925" width="34.85546875" style="548" customWidth="1"/>
    <col min="7926" max="7926" width="2.42578125" style="548" customWidth="1"/>
    <col min="7927" max="7927" width="2.85546875" style="548" customWidth="1"/>
    <col min="7928" max="7928" width="21.28515625" style="548" customWidth="1"/>
    <col min="7929" max="7929" width="34.85546875" style="548" customWidth="1"/>
    <col min="7930" max="7930" width="2.42578125" style="548" customWidth="1"/>
    <col min="7931" max="7931" width="2.85546875" style="548" customWidth="1"/>
    <col min="7932" max="7932" width="21.28515625" style="548" customWidth="1"/>
    <col min="7933" max="7933" width="34.85546875" style="548" customWidth="1"/>
    <col min="7934" max="7934" width="2.42578125" style="548" customWidth="1"/>
    <col min="7935" max="7935" width="2.85546875" style="548" customWidth="1"/>
    <col min="7936" max="7936" width="21.28515625" style="548" customWidth="1"/>
    <col min="7937" max="7937" width="34.85546875" style="548" customWidth="1"/>
    <col min="7938" max="7938" width="2.42578125" style="548" customWidth="1"/>
    <col min="7939" max="7939" width="2.85546875" style="548" customWidth="1"/>
    <col min="7940" max="7940" width="21.28515625" style="548" customWidth="1"/>
    <col min="7941" max="7941" width="34.7109375" style="548" customWidth="1"/>
    <col min="7942" max="7942" width="2.42578125" style="548" customWidth="1"/>
    <col min="7943" max="7943" width="2.85546875" style="548" customWidth="1"/>
    <col min="7944" max="7944" width="13.42578125" style="548" customWidth="1"/>
    <col min="7945" max="7945" width="42.85546875" style="548" customWidth="1"/>
    <col min="7946" max="8161" width="9.140625" style="548"/>
    <col min="8162" max="8162" width="2.42578125" style="548" customWidth="1"/>
    <col min="8163" max="8163" width="2.85546875" style="548" customWidth="1"/>
    <col min="8164" max="8164" width="21.28515625" style="548" customWidth="1"/>
    <col min="8165" max="8165" width="34.85546875" style="548" customWidth="1"/>
    <col min="8166" max="8166" width="2.42578125" style="548" customWidth="1"/>
    <col min="8167" max="8167" width="3" style="548" customWidth="1"/>
    <col min="8168" max="8168" width="21.28515625" style="548" customWidth="1"/>
    <col min="8169" max="8169" width="35" style="548" customWidth="1"/>
    <col min="8170" max="8170" width="2.42578125" style="548" customWidth="1"/>
    <col min="8171" max="8171" width="2.85546875" style="548" customWidth="1"/>
    <col min="8172" max="8172" width="21.28515625" style="548" customWidth="1"/>
    <col min="8173" max="8173" width="34.85546875" style="548" customWidth="1"/>
    <col min="8174" max="8174" width="2.42578125" style="548" customWidth="1"/>
    <col min="8175" max="8175" width="2.85546875" style="548" customWidth="1"/>
    <col min="8176" max="8176" width="21.28515625" style="548" customWidth="1"/>
    <col min="8177" max="8177" width="34.85546875" style="548" customWidth="1"/>
    <col min="8178" max="8178" width="2.42578125" style="548" customWidth="1"/>
    <col min="8179" max="8179" width="2.85546875" style="548" customWidth="1"/>
    <col min="8180" max="8180" width="21.28515625" style="548" customWidth="1"/>
    <col min="8181" max="8181" width="34.85546875" style="548" customWidth="1"/>
    <col min="8182" max="8182" width="2.42578125" style="548" customWidth="1"/>
    <col min="8183" max="8183" width="2.85546875" style="548" customWidth="1"/>
    <col min="8184" max="8184" width="21.28515625" style="548" customWidth="1"/>
    <col min="8185" max="8185" width="34.85546875" style="548" customWidth="1"/>
    <col min="8186" max="8186" width="2.42578125" style="548" customWidth="1"/>
    <col min="8187" max="8187" width="2.85546875" style="548" customWidth="1"/>
    <col min="8188" max="8188" width="21.28515625" style="548" customWidth="1"/>
    <col min="8189" max="8189" width="34.85546875" style="548" customWidth="1"/>
    <col min="8190" max="8190" width="2.42578125" style="548" customWidth="1"/>
    <col min="8191" max="8191" width="2.85546875" style="548" customWidth="1"/>
    <col min="8192" max="8192" width="21.28515625" style="548" customWidth="1"/>
    <col min="8193" max="8193" width="34.85546875" style="548" customWidth="1"/>
    <col min="8194" max="8194" width="2.42578125" style="548" customWidth="1"/>
    <col min="8195" max="8195" width="2.85546875" style="548" customWidth="1"/>
    <col min="8196" max="8196" width="21.28515625" style="548" customWidth="1"/>
    <col min="8197" max="8197" width="34.7109375" style="548" customWidth="1"/>
    <col min="8198" max="8198" width="2.42578125" style="548" customWidth="1"/>
    <col min="8199" max="8199" width="2.85546875" style="548" customWidth="1"/>
    <col min="8200" max="8200" width="13.42578125" style="548" customWidth="1"/>
    <col min="8201" max="8201" width="42.85546875" style="548" customWidth="1"/>
    <col min="8202" max="8417" width="9.140625" style="548"/>
    <col min="8418" max="8418" width="2.42578125" style="548" customWidth="1"/>
    <col min="8419" max="8419" width="2.85546875" style="548" customWidth="1"/>
    <col min="8420" max="8420" width="21.28515625" style="548" customWidth="1"/>
    <col min="8421" max="8421" width="34.85546875" style="548" customWidth="1"/>
    <col min="8422" max="8422" width="2.42578125" style="548" customWidth="1"/>
    <col min="8423" max="8423" width="3" style="548" customWidth="1"/>
    <col min="8424" max="8424" width="21.28515625" style="548" customWidth="1"/>
    <col min="8425" max="8425" width="35" style="548" customWidth="1"/>
    <col min="8426" max="8426" width="2.42578125" style="548" customWidth="1"/>
    <col min="8427" max="8427" width="2.85546875" style="548" customWidth="1"/>
    <col min="8428" max="8428" width="21.28515625" style="548" customWidth="1"/>
    <col min="8429" max="8429" width="34.85546875" style="548" customWidth="1"/>
    <col min="8430" max="8430" width="2.42578125" style="548" customWidth="1"/>
    <col min="8431" max="8431" width="2.85546875" style="548" customWidth="1"/>
    <col min="8432" max="8432" width="21.28515625" style="548" customWidth="1"/>
    <col min="8433" max="8433" width="34.85546875" style="548" customWidth="1"/>
    <col min="8434" max="8434" width="2.42578125" style="548" customWidth="1"/>
    <col min="8435" max="8435" width="2.85546875" style="548" customWidth="1"/>
    <col min="8436" max="8436" width="21.28515625" style="548" customWidth="1"/>
    <col min="8437" max="8437" width="34.85546875" style="548" customWidth="1"/>
    <col min="8438" max="8438" width="2.42578125" style="548" customWidth="1"/>
    <col min="8439" max="8439" width="2.85546875" style="548" customWidth="1"/>
    <col min="8440" max="8440" width="21.28515625" style="548" customWidth="1"/>
    <col min="8441" max="8441" width="34.85546875" style="548" customWidth="1"/>
    <col min="8442" max="8442" width="2.42578125" style="548" customWidth="1"/>
    <col min="8443" max="8443" width="2.85546875" style="548" customWidth="1"/>
    <col min="8444" max="8444" width="21.28515625" style="548" customWidth="1"/>
    <col min="8445" max="8445" width="34.85546875" style="548" customWidth="1"/>
    <col min="8446" max="8446" width="2.42578125" style="548" customWidth="1"/>
    <col min="8447" max="8447" width="2.85546875" style="548" customWidth="1"/>
    <col min="8448" max="8448" width="21.28515625" style="548" customWidth="1"/>
    <col min="8449" max="8449" width="34.85546875" style="548" customWidth="1"/>
    <col min="8450" max="8450" width="2.42578125" style="548" customWidth="1"/>
    <col min="8451" max="8451" width="2.85546875" style="548" customWidth="1"/>
    <col min="8452" max="8452" width="21.28515625" style="548" customWidth="1"/>
    <col min="8453" max="8453" width="34.7109375" style="548" customWidth="1"/>
    <col min="8454" max="8454" width="2.42578125" style="548" customWidth="1"/>
    <col min="8455" max="8455" width="2.85546875" style="548" customWidth="1"/>
    <col min="8456" max="8456" width="13.42578125" style="548" customWidth="1"/>
    <col min="8457" max="8457" width="42.85546875" style="548" customWidth="1"/>
    <col min="8458" max="8673" width="9.140625" style="548"/>
    <col min="8674" max="8674" width="2.42578125" style="548" customWidth="1"/>
    <col min="8675" max="8675" width="2.85546875" style="548" customWidth="1"/>
    <col min="8676" max="8676" width="21.28515625" style="548" customWidth="1"/>
    <col min="8677" max="8677" width="34.85546875" style="548" customWidth="1"/>
    <col min="8678" max="8678" width="2.42578125" style="548" customWidth="1"/>
    <col min="8679" max="8679" width="3" style="548" customWidth="1"/>
    <col min="8680" max="8680" width="21.28515625" style="548" customWidth="1"/>
    <col min="8681" max="8681" width="35" style="548" customWidth="1"/>
    <col min="8682" max="8682" width="2.42578125" style="548" customWidth="1"/>
    <col min="8683" max="8683" width="2.85546875" style="548" customWidth="1"/>
    <col min="8684" max="8684" width="21.28515625" style="548" customWidth="1"/>
    <col min="8685" max="8685" width="34.85546875" style="548" customWidth="1"/>
    <col min="8686" max="8686" width="2.42578125" style="548" customWidth="1"/>
    <col min="8687" max="8687" width="2.85546875" style="548" customWidth="1"/>
    <col min="8688" max="8688" width="21.28515625" style="548" customWidth="1"/>
    <col min="8689" max="8689" width="34.85546875" style="548" customWidth="1"/>
    <col min="8690" max="8690" width="2.42578125" style="548" customWidth="1"/>
    <col min="8691" max="8691" width="2.85546875" style="548" customWidth="1"/>
    <col min="8692" max="8692" width="21.28515625" style="548" customWidth="1"/>
    <col min="8693" max="8693" width="34.85546875" style="548" customWidth="1"/>
    <col min="8694" max="8694" width="2.42578125" style="548" customWidth="1"/>
    <col min="8695" max="8695" width="2.85546875" style="548" customWidth="1"/>
    <col min="8696" max="8696" width="21.28515625" style="548" customWidth="1"/>
    <col min="8697" max="8697" width="34.85546875" style="548" customWidth="1"/>
    <col min="8698" max="8698" width="2.42578125" style="548" customWidth="1"/>
    <col min="8699" max="8699" width="2.85546875" style="548" customWidth="1"/>
    <col min="8700" max="8700" width="21.28515625" style="548" customWidth="1"/>
    <col min="8701" max="8701" width="34.85546875" style="548" customWidth="1"/>
    <col min="8702" max="8702" width="2.42578125" style="548" customWidth="1"/>
    <col min="8703" max="8703" width="2.85546875" style="548" customWidth="1"/>
    <col min="8704" max="8704" width="21.28515625" style="548" customWidth="1"/>
    <col min="8705" max="8705" width="34.85546875" style="548" customWidth="1"/>
    <col min="8706" max="8706" width="2.42578125" style="548" customWidth="1"/>
    <col min="8707" max="8707" width="2.85546875" style="548" customWidth="1"/>
    <col min="8708" max="8708" width="21.28515625" style="548" customWidth="1"/>
    <col min="8709" max="8709" width="34.7109375" style="548" customWidth="1"/>
    <col min="8710" max="8710" width="2.42578125" style="548" customWidth="1"/>
    <col min="8711" max="8711" width="2.85546875" style="548" customWidth="1"/>
    <col min="8712" max="8712" width="13.42578125" style="548" customWidth="1"/>
    <col min="8713" max="8713" width="42.85546875" style="548" customWidth="1"/>
    <col min="8714" max="8929" width="9.140625" style="548"/>
    <col min="8930" max="8930" width="2.42578125" style="548" customWidth="1"/>
    <col min="8931" max="8931" width="2.85546875" style="548" customWidth="1"/>
    <col min="8932" max="8932" width="21.28515625" style="548" customWidth="1"/>
    <col min="8933" max="8933" width="34.85546875" style="548" customWidth="1"/>
    <col min="8934" max="8934" width="2.42578125" style="548" customWidth="1"/>
    <col min="8935" max="8935" width="3" style="548" customWidth="1"/>
    <col min="8936" max="8936" width="21.28515625" style="548" customWidth="1"/>
    <col min="8937" max="8937" width="35" style="548" customWidth="1"/>
    <col min="8938" max="8938" width="2.42578125" style="548" customWidth="1"/>
    <col min="8939" max="8939" width="2.85546875" style="548" customWidth="1"/>
    <col min="8940" max="8940" width="21.28515625" style="548" customWidth="1"/>
    <col min="8941" max="8941" width="34.85546875" style="548" customWidth="1"/>
    <col min="8942" max="8942" width="2.42578125" style="548" customWidth="1"/>
    <col min="8943" max="8943" width="2.85546875" style="548" customWidth="1"/>
    <col min="8944" max="8944" width="21.28515625" style="548" customWidth="1"/>
    <col min="8945" max="8945" width="34.85546875" style="548" customWidth="1"/>
    <col min="8946" max="8946" width="2.42578125" style="548" customWidth="1"/>
    <col min="8947" max="8947" width="2.85546875" style="548" customWidth="1"/>
    <col min="8948" max="8948" width="21.28515625" style="548" customWidth="1"/>
    <col min="8949" max="8949" width="34.85546875" style="548" customWidth="1"/>
    <col min="8950" max="8950" width="2.42578125" style="548" customWidth="1"/>
    <col min="8951" max="8951" width="2.85546875" style="548" customWidth="1"/>
    <col min="8952" max="8952" width="21.28515625" style="548" customWidth="1"/>
    <col min="8953" max="8953" width="34.85546875" style="548" customWidth="1"/>
    <col min="8954" max="8954" width="2.42578125" style="548" customWidth="1"/>
    <col min="8955" max="8955" width="2.85546875" style="548" customWidth="1"/>
    <col min="8956" max="8956" width="21.28515625" style="548" customWidth="1"/>
    <col min="8957" max="8957" width="34.85546875" style="548" customWidth="1"/>
    <col min="8958" max="8958" width="2.42578125" style="548" customWidth="1"/>
    <col min="8959" max="8959" width="2.85546875" style="548" customWidth="1"/>
    <col min="8960" max="8960" width="21.28515625" style="548" customWidth="1"/>
    <col min="8961" max="8961" width="34.85546875" style="548" customWidth="1"/>
    <col min="8962" max="8962" width="2.42578125" style="548" customWidth="1"/>
    <col min="8963" max="8963" width="2.85546875" style="548" customWidth="1"/>
    <col min="8964" max="8964" width="21.28515625" style="548" customWidth="1"/>
    <col min="8965" max="8965" width="34.7109375" style="548" customWidth="1"/>
    <col min="8966" max="8966" width="2.42578125" style="548" customWidth="1"/>
    <col min="8967" max="8967" width="2.85546875" style="548" customWidth="1"/>
    <col min="8968" max="8968" width="13.42578125" style="548" customWidth="1"/>
    <col min="8969" max="8969" width="42.85546875" style="548" customWidth="1"/>
    <col min="8970" max="9185" width="9.140625" style="548"/>
    <col min="9186" max="9186" width="2.42578125" style="548" customWidth="1"/>
    <col min="9187" max="9187" width="2.85546875" style="548" customWidth="1"/>
    <col min="9188" max="9188" width="21.28515625" style="548" customWidth="1"/>
    <col min="9189" max="9189" width="34.85546875" style="548" customWidth="1"/>
    <col min="9190" max="9190" width="2.42578125" style="548" customWidth="1"/>
    <col min="9191" max="9191" width="3" style="548" customWidth="1"/>
    <col min="9192" max="9192" width="21.28515625" style="548" customWidth="1"/>
    <col min="9193" max="9193" width="35" style="548" customWidth="1"/>
    <col min="9194" max="9194" width="2.42578125" style="548" customWidth="1"/>
    <col min="9195" max="9195" width="2.85546875" style="548" customWidth="1"/>
    <col min="9196" max="9196" width="21.28515625" style="548" customWidth="1"/>
    <col min="9197" max="9197" width="34.85546875" style="548" customWidth="1"/>
    <col min="9198" max="9198" width="2.42578125" style="548" customWidth="1"/>
    <col min="9199" max="9199" width="2.85546875" style="548" customWidth="1"/>
    <col min="9200" max="9200" width="21.28515625" style="548" customWidth="1"/>
    <col min="9201" max="9201" width="34.85546875" style="548" customWidth="1"/>
    <col min="9202" max="9202" width="2.42578125" style="548" customWidth="1"/>
    <col min="9203" max="9203" width="2.85546875" style="548" customWidth="1"/>
    <col min="9204" max="9204" width="21.28515625" style="548" customWidth="1"/>
    <col min="9205" max="9205" width="34.85546875" style="548" customWidth="1"/>
    <col min="9206" max="9206" width="2.42578125" style="548" customWidth="1"/>
    <col min="9207" max="9207" width="2.85546875" style="548" customWidth="1"/>
    <col min="9208" max="9208" width="21.28515625" style="548" customWidth="1"/>
    <col min="9209" max="9209" width="34.85546875" style="548" customWidth="1"/>
    <col min="9210" max="9210" width="2.42578125" style="548" customWidth="1"/>
    <col min="9211" max="9211" width="2.85546875" style="548" customWidth="1"/>
    <col min="9212" max="9212" width="21.28515625" style="548" customWidth="1"/>
    <col min="9213" max="9213" width="34.85546875" style="548" customWidth="1"/>
    <col min="9214" max="9214" width="2.42578125" style="548" customWidth="1"/>
    <col min="9215" max="9215" width="2.85546875" style="548" customWidth="1"/>
    <col min="9216" max="9216" width="21.28515625" style="548" customWidth="1"/>
    <col min="9217" max="9217" width="34.85546875" style="548" customWidth="1"/>
    <col min="9218" max="9218" width="2.42578125" style="548" customWidth="1"/>
    <col min="9219" max="9219" width="2.85546875" style="548" customWidth="1"/>
    <col min="9220" max="9220" width="21.28515625" style="548" customWidth="1"/>
    <col min="9221" max="9221" width="34.7109375" style="548" customWidth="1"/>
    <col min="9222" max="9222" width="2.42578125" style="548" customWidth="1"/>
    <col min="9223" max="9223" width="2.85546875" style="548" customWidth="1"/>
    <col min="9224" max="9224" width="13.42578125" style="548" customWidth="1"/>
    <col min="9225" max="9225" width="42.85546875" style="548" customWidth="1"/>
    <col min="9226" max="9441" width="9.140625" style="548"/>
    <col min="9442" max="9442" width="2.42578125" style="548" customWidth="1"/>
    <col min="9443" max="9443" width="2.85546875" style="548" customWidth="1"/>
    <col min="9444" max="9444" width="21.28515625" style="548" customWidth="1"/>
    <col min="9445" max="9445" width="34.85546875" style="548" customWidth="1"/>
    <col min="9446" max="9446" width="2.42578125" style="548" customWidth="1"/>
    <col min="9447" max="9447" width="3" style="548" customWidth="1"/>
    <col min="9448" max="9448" width="21.28515625" style="548" customWidth="1"/>
    <col min="9449" max="9449" width="35" style="548" customWidth="1"/>
    <col min="9450" max="9450" width="2.42578125" style="548" customWidth="1"/>
    <col min="9451" max="9451" width="2.85546875" style="548" customWidth="1"/>
    <col min="9452" max="9452" width="21.28515625" style="548" customWidth="1"/>
    <col min="9453" max="9453" width="34.85546875" style="548" customWidth="1"/>
    <col min="9454" max="9454" width="2.42578125" style="548" customWidth="1"/>
    <col min="9455" max="9455" width="2.85546875" style="548" customWidth="1"/>
    <col min="9456" max="9456" width="21.28515625" style="548" customWidth="1"/>
    <col min="9457" max="9457" width="34.85546875" style="548" customWidth="1"/>
    <col min="9458" max="9458" width="2.42578125" style="548" customWidth="1"/>
    <col min="9459" max="9459" width="2.85546875" style="548" customWidth="1"/>
    <col min="9460" max="9460" width="21.28515625" style="548" customWidth="1"/>
    <col min="9461" max="9461" width="34.85546875" style="548" customWidth="1"/>
    <col min="9462" max="9462" width="2.42578125" style="548" customWidth="1"/>
    <col min="9463" max="9463" width="2.85546875" style="548" customWidth="1"/>
    <col min="9464" max="9464" width="21.28515625" style="548" customWidth="1"/>
    <col min="9465" max="9465" width="34.85546875" style="548" customWidth="1"/>
    <col min="9466" max="9466" width="2.42578125" style="548" customWidth="1"/>
    <col min="9467" max="9467" width="2.85546875" style="548" customWidth="1"/>
    <col min="9468" max="9468" width="21.28515625" style="548" customWidth="1"/>
    <col min="9469" max="9469" width="34.85546875" style="548" customWidth="1"/>
    <col min="9470" max="9470" width="2.42578125" style="548" customWidth="1"/>
    <col min="9471" max="9471" width="2.85546875" style="548" customWidth="1"/>
    <col min="9472" max="9472" width="21.28515625" style="548" customWidth="1"/>
    <col min="9473" max="9473" width="34.85546875" style="548" customWidth="1"/>
    <col min="9474" max="9474" width="2.42578125" style="548" customWidth="1"/>
    <col min="9475" max="9475" width="2.85546875" style="548" customWidth="1"/>
    <col min="9476" max="9476" width="21.28515625" style="548" customWidth="1"/>
    <col min="9477" max="9477" width="34.7109375" style="548" customWidth="1"/>
    <col min="9478" max="9478" width="2.42578125" style="548" customWidth="1"/>
    <col min="9479" max="9479" width="2.85546875" style="548" customWidth="1"/>
    <col min="9480" max="9480" width="13.42578125" style="548" customWidth="1"/>
    <col min="9481" max="9481" width="42.85546875" style="548" customWidth="1"/>
    <col min="9482" max="9697" width="9.140625" style="548"/>
    <col min="9698" max="9698" width="2.42578125" style="548" customWidth="1"/>
    <col min="9699" max="9699" width="2.85546875" style="548" customWidth="1"/>
    <col min="9700" max="9700" width="21.28515625" style="548" customWidth="1"/>
    <col min="9701" max="9701" width="34.85546875" style="548" customWidth="1"/>
    <col min="9702" max="9702" width="2.42578125" style="548" customWidth="1"/>
    <col min="9703" max="9703" width="3" style="548" customWidth="1"/>
    <col min="9704" max="9704" width="21.28515625" style="548" customWidth="1"/>
    <col min="9705" max="9705" width="35" style="548" customWidth="1"/>
    <col min="9706" max="9706" width="2.42578125" style="548" customWidth="1"/>
    <col min="9707" max="9707" width="2.85546875" style="548" customWidth="1"/>
    <col min="9708" max="9708" width="21.28515625" style="548" customWidth="1"/>
    <col min="9709" max="9709" width="34.85546875" style="548" customWidth="1"/>
    <col min="9710" max="9710" width="2.42578125" style="548" customWidth="1"/>
    <col min="9711" max="9711" width="2.85546875" style="548" customWidth="1"/>
    <col min="9712" max="9712" width="21.28515625" style="548" customWidth="1"/>
    <col min="9713" max="9713" width="34.85546875" style="548" customWidth="1"/>
    <col min="9714" max="9714" width="2.42578125" style="548" customWidth="1"/>
    <col min="9715" max="9715" width="2.85546875" style="548" customWidth="1"/>
    <col min="9716" max="9716" width="21.28515625" style="548" customWidth="1"/>
    <col min="9717" max="9717" width="34.85546875" style="548" customWidth="1"/>
    <col min="9718" max="9718" width="2.42578125" style="548" customWidth="1"/>
    <col min="9719" max="9719" width="2.85546875" style="548" customWidth="1"/>
    <col min="9720" max="9720" width="21.28515625" style="548" customWidth="1"/>
    <col min="9721" max="9721" width="34.85546875" style="548" customWidth="1"/>
    <col min="9722" max="9722" width="2.42578125" style="548" customWidth="1"/>
    <col min="9723" max="9723" width="2.85546875" style="548" customWidth="1"/>
    <col min="9724" max="9724" width="21.28515625" style="548" customWidth="1"/>
    <col min="9725" max="9725" width="34.85546875" style="548" customWidth="1"/>
    <col min="9726" max="9726" width="2.42578125" style="548" customWidth="1"/>
    <col min="9727" max="9727" width="2.85546875" style="548" customWidth="1"/>
    <col min="9728" max="9728" width="21.28515625" style="548" customWidth="1"/>
    <col min="9729" max="9729" width="34.85546875" style="548" customWidth="1"/>
    <col min="9730" max="9730" width="2.42578125" style="548" customWidth="1"/>
    <col min="9731" max="9731" width="2.85546875" style="548" customWidth="1"/>
    <col min="9732" max="9732" width="21.28515625" style="548" customWidth="1"/>
    <col min="9733" max="9733" width="34.7109375" style="548" customWidth="1"/>
    <col min="9734" max="9734" width="2.42578125" style="548" customWidth="1"/>
    <col min="9735" max="9735" width="2.85546875" style="548" customWidth="1"/>
    <col min="9736" max="9736" width="13.42578125" style="548" customWidth="1"/>
    <col min="9737" max="9737" width="42.85546875" style="548" customWidth="1"/>
    <col min="9738" max="9953" width="9.140625" style="548"/>
    <col min="9954" max="9954" width="2.42578125" style="548" customWidth="1"/>
    <col min="9955" max="9955" width="2.85546875" style="548" customWidth="1"/>
    <col min="9956" max="9956" width="21.28515625" style="548" customWidth="1"/>
    <col min="9957" max="9957" width="34.85546875" style="548" customWidth="1"/>
    <col min="9958" max="9958" width="2.42578125" style="548" customWidth="1"/>
    <col min="9959" max="9959" width="3" style="548" customWidth="1"/>
    <col min="9960" max="9960" width="21.28515625" style="548" customWidth="1"/>
    <col min="9961" max="9961" width="35" style="548" customWidth="1"/>
    <col min="9962" max="9962" width="2.42578125" style="548" customWidth="1"/>
    <col min="9963" max="9963" width="2.85546875" style="548" customWidth="1"/>
    <col min="9964" max="9964" width="21.28515625" style="548" customWidth="1"/>
    <col min="9965" max="9965" width="34.85546875" style="548" customWidth="1"/>
    <col min="9966" max="9966" width="2.42578125" style="548" customWidth="1"/>
    <col min="9967" max="9967" width="2.85546875" style="548" customWidth="1"/>
    <col min="9968" max="9968" width="21.28515625" style="548" customWidth="1"/>
    <col min="9969" max="9969" width="34.85546875" style="548" customWidth="1"/>
    <col min="9970" max="9970" width="2.42578125" style="548" customWidth="1"/>
    <col min="9971" max="9971" width="2.85546875" style="548" customWidth="1"/>
    <col min="9972" max="9972" width="21.28515625" style="548" customWidth="1"/>
    <col min="9973" max="9973" width="34.85546875" style="548" customWidth="1"/>
    <col min="9974" max="9974" width="2.42578125" style="548" customWidth="1"/>
    <col min="9975" max="9975" width="2.85546875" style="548" customWidth="1"/>
    <col min="9976" max="9976" width="21.28515625" style="548" customWidth="1"/>
    <col min="9977" max="9977" width="34.85546875" style="548" customWidth="1"/>
    <col min="9978" max="9978" width="2.42578125" style="548" customWidth="1"/>
    <col min="9979" max="9979" width="2.85546875" style="548" customWidth="1"/>
    <col min="9980" max="9980" width="21.28515625" style="548" customWidth="1"/>
    <col min="9981" max="9981" width="34.85546875" style="548" customWidth="1"/>
    <col min="9982" max="9982" width="2.42578125" style="548" customWidth="1"/>
    <col min="9983" max="9983" width="2.85546875" style="548" customWidth="1"/>
    <col min="9984" max="9984" width="21.28515625" style="548" customWidth="1"/>
    <col min="9985" max="9985" width="34.85546875" style="548" customWidth="1"/>
    <col min="9986" max="9986" width="2.42578125" style="548" customWidth="1"/>
    <col min="9987" max="9987" width="2.85546875" style="548" customWidth="1"/>
    <col min="9988" max="9988" width="21.28515625" style="548" customWidth="1"/>
    <col min="9989" max="9989" width="34.7109375" style="548" customWidth="1"/>
    <col min="9990" max="9990" width="2.42578125" style="548" customWidth="1"/>
    <col min="9991" max="9991" width="2.85546875" style="548" customWidth="1"/>
    <col min="9992" max="9992" width="13.42578125" style="548" customWidth="1"/>
    <col min="9993" max="9993" width="42.85546875" style="548" customWidth="1"/>
    <col min="9994" max="10209" width="9.140625" style="548"/>
    <col min="10210" max="10210" width="2.42578125" style="548" customWidth="1"/>
    <col min="10211" max="10211" width="2.85546875" style="548" customWidth="1"/>
    <col min="10212" max="10212" width="21.28515625" style="548" customWidth="1"/>
    <col min="10213" max="10213" width="34.85546875" style="548" customWidth="1"/>
    <col min="10214" max="10214" width="2.42578125" style="548" customWidth="1"/>
    <col min="10215" max="10215" width="3" style="548" customWidth="1"/>
    <col min="10216" max="10216" width="21.28515625" style="548" customWidth="1"/>
    <col min="10217" max="10217" width="35" style="548" customWidth="1"/>
    <col min="10218" max="10218" width="2.42578125" style="548" customWidth="1"/>
    <col min="10219" max="10219" width="2.85546875" style="548" customWidth="1"/>
    <col min="10220" max="10220" width="21.28515625" style="548" customWidth="1"/>
    <col min="10221" max="10221" width="34.85546875" style="548" customWidth="1"/>
    <col min="10222" max="10222" width="2.42578125" style="548" customWidth="1"/>
    <col min="10223" max="10223" width="2.85546875" style="548" customWidth="1"/>
    <col min="10224" max="10224" width="21.28515625" style="548" customWidth="1"/>
    <col min="10225" max="10225" width="34.85546875" style="548" customWidth="1"/>
    <col min="10226" max="10226" width="2.42578125" style="548" customWidth="1"/>
    <col min="10227" max="10227" width="2.85546875" style="548" customWidth="1"/>
    <col min="10228" max="10228" width="21.28515625" style="548" customWidth="1"/>
    <col min="10229" max="10229" width="34.85546875" style="548" customWidth="1"/>
    <col min="10230" max="10230" width="2.42578125" style="548" customWidth="1"/>
    <col min="10231" max="10231" width="2.85546875" style="548" customWidth="1"/>
    <col min="10232" max="10232" width="21.28515625" style="548" customWidth="1"/>
    <col min="10233" max="10233" width="34.85546875" style="548" customWidth="1"/>
    <col min="10234" max="10234" width="2.42578125" style="548" customWidth="1"/>
    <col min="10235" max="10235" width="2.85546875" style="548" customWidth="1"/>
    <col min="10236" max="10236" width="21.28515625" style="548" customWidth="1"/>
    <col min="10237" max="10237" width="34.85546875" style="548" customWidth="1"/>
    <col min="10238" max="10238" width="2.42578125" style="548" customWidth="1"/>
    <col min="10239" max="10239" width="2.85546875" style="548" customWidth="1"/>
    <col min="10240" max="10240" width="21.28515625" style="548" customWidth="1"/>
    <col min="10241" max="10241" width="34.85546875" style="548" customWidth="1"/>
    <col min="10242" max="10242" width="2.42578125" style="548" customWidth="1"/>
    <col min="10243" max="10243" width="2.85546875" style="548" customWidth="1"/>
    <col min="10244" max="10244" width="21.28515625" style="548" customWidth="1"/>
    <col min="10245" max="10245" width="34.7109375" style="548" customWidth="1"/>
    <col min="10246" max="10246" width="2.42578125" style="548" customWidth="1"/>
    <col min="10247" max="10247" width="2.85546875" style="548" customWidth="1"/>
    <col min="10248" max="10248" width="13.42578125" style="548" customWidth="1"/>
    <col min="10249" max="10249" width="42.85546875" style="548" customWidth="1"/>
    <col min="10250" max="10465" width="9.140625" style="548"/>
    <col min="10466" max="10466" width="2.42578125" style="548" customWidth="1"/>
    <col min="10467" max="10467" width="2.85546875" style="548" customWidth="1"/>
    <col min="10468" max="10468" width="21.28515625" style="548" customWidth="1"/>
    <col min="10469" max="10469" width="34.85546875" style="548" customWidth="1"/>
    <col min="10470" max="10470" width="2.42578125" style="548" customWidth="1"/>
    <col min="10471" max="10471" width="3" style="548" customWidth="1"/>
    <col min="10472" max="10472" width="21.28515625" style="548" customWidth="1"/>
    <col min="10473" max="10473" width="35" style="548" customWidth="1"/>
    <col min="10474" max="10474" width="2.42578125" style="548" customWidth="1"/>
    <col min="10475" max="10475" width="2.85546875" style="548" customWidth="1"/>
    <col min="10476" max="10476" width="21.28515625" style="548" customWidth="1"/>
    <col min="10477" max="10477" width="34.85546875" style="548" customWidth="1"/>
    <col min="10478" max="10478" width="2.42578125" style="548" customWidth="1"/>
    <col min="10479" max="10479" width="2.85546875" style="548" customWidth="1"/>
    <col min="10480" max="10480" width="21.28515625" style="548" customWidth="1"/>
    <col min="10481" max="10481" width="34.85546875" style="548" customWidth="1"/>
    <col min="10482" max="10482" width="2.42578125" style="548" customWidth="1"/>
    <col min="10483" max="10483" width="2.85546875" style="548" customWidth="1"/>
    <col min="10484" max="10484" width="21.28515625" style="548" customWidth="1"/>
    <col min="10485" max="10485" width="34.85546875" style="548" customWidth="1"/>
    <col min="10486" max="10486" width="2.42578125" style="548" customWidth="1"/>
    <col min="10487" max="10487" width="2.85546875" style="548" customWidth="1"/>
    <col min="10488" max="10488" width="21.28515625" style="548" customWidth="1"/>
    <col min="10489" max="10489" width="34.85546875" style="548" customWidth="1"/>
    <col min="10490" max="10490" width="2.42578125" style="548" customWidth="1"/>
    <col min="10491" max="10491" width="2.85546875" style="548" customWidth="1"/>
    <col min="10492" max="10492" width="21.28515625" style="548" customWidth="1"/>
    <col min="10493" max="10493" width="34.85546875" style="548" customWidth="1"/>
    <col min="10494" max="10494" width="2.42578125" style="548" customWidth="1"/>
    <col min="10495" max="10495" width="2.85546875" style="548" customWidth="1"/>
    <col min="10496" max="10496" width="21.28515625" style="548" customWidth="1"/>
    <col min="10497" max="10497" width="34.85546875" style="548" customWidth="1"/>
    <col min="10498" max="10498" width="2.42578125" style="548" customWidth="1"/>
    <col min="10499" max="10499" width="2.85546875" style="548" customWidth="1"/>
    <col min="10500" max="10500" width="21.28515625" style="548" customWidth="1"/>
    <col min="10501" max="10501" width="34.7109375" style="548" customWidth="1"/>
    <col min="10502" max="10502" width="2.42578125" style="548" customWidth="1"/>
    <col min="10503" max="10503" width="2.85546875" style="548" customWidth="1"/>
    <col min="10504" max="10504" width="13.42578125" style="548" customWidth="1"/>
    <col min="10505" max="10505" width="42.85546875" style="548" customWidth="1"/>
    <col min="10506" max="10721" width="9.140625" style="548"/>
    <col min="10722" max="10722" width="2.42578125" style="548" customWidth="1"/>
    <col min="10723" max="10723" width="2.85546875" style="548" customWidth="1"/>
    <col min="10724" max="10724" width="21.28515625" style="548" customWidth="1"/>
    <col min="10725" max="10725" width="34.85546875" style="548" customWidth="1"/>
    <col min="10726" max="10726" width="2.42578125" style="548" customWidth="1"/>
    <col min="10727" max="10727" width="3" style="548" customWidth="1"/>
    <col min="10728" max="10728" width="21.28515625" style="548" customWidth="1"/>
    <col min="10729" max="10729" width="35" style="548" customWidth="1"/>
    <col min="10730" max="10730" width="2.42578125" style="548" customWidth="1"/>
    <col min="10731" max="10731" width="2.85546875" style="548" customWidth="1"/>
    <col min="10732" max="10732" width="21.28515625" style="548" customWidth="1"/>
    <col min="10733" max="10733" width="34.85546875" style="548" customWidth="1"/>
    <col min="10734" max="10734" width="2.42578125" style="548" customWidth="1"/>
    <col min="10735" max="10735" width="2.85546875" style="548" customWidth="1"/>
    <col min="10736" max="10736" width="21.28515625" style="548" customWidth="1"/>
    <col min="10737" max="10737" width="34.85546875" style="548" customWidth="1"/>
    <col min="10738" max="10738" width="2.42578125" style="548" customWidth="1"/>
    <col min="10739" max="10739" width="2.85546875" style="548" customWidth="1"/>
    <col min="10740" max="10740" width="21.28515625" style="548" customWidth="1"/>
    <col min="10741" max="10741" width="34.85546875" style="548" customWidth="1"/>
    <col min="10742" max="10742" width="2.42578125" style="548" customWidth="1"/>
    <col min="10743" max="10743" width="2.85546875" style="548" customWidth="1"/>
    <col min="10744" max="10744" width="21.28515625" style="548" customWidth="1"/>
    <col min="10745" max="10745" width="34.85546875" style="548" customWidth="1"/>
    <col min="10746" max="10746" width="2.42578125" style="548" customWidth="1"/>
    <col min="10747" max="10747" width="2.85546875" style="548" customWidth="1"/>
    <col min="10748" max="10748" width="21.28515625" style="548" customWidth="1"/>
    <col min="10749" max="10749" width="34.85546875" style="548" customWidth="1"/>
    <col min="10750" max="10750" width="2.42578125" style="548" customWidth="1"/>
    <col min="10751" max="10751" width="2.85546875" style="548" customWidth="1"/>
    <col min="10752" max="10752" width="21.28515625" style="548" customWidth="1"/>
    <col min="10753" max="10753" width="34.85546875" style="548" customWidth="1"/>
    <col min="10754" max="10754" width="2.42578125" style="548" customWidth="1"/>
    <col min="10755" max="10755" width="2.85546875" style="548" customWidth="1"/>
    <col min="10756" max="10756" width="21.28515625" style="548" customWidth="1"/>
    <col min="10757" max="10757" width="34.7109375" style="548" customWidth="1"/>
    <col min="10758" max="10758" width="2.42578125" style="548" customWidth="1"/>
    <col min="10759" max="10759" width="2.85546875" style="548" customWidth="1"/>
    <col min="10760" max="10760" width="13.42578125" style="548" customWidth="1"/>
    <col min="10761" max="10761" width="42.85546875" style="548" customWidth="1"/>
    <col min="10762" max="10977" width="9.140625" style="548"/>
    <col min="10978" max="10978" width="2.42578125" style="548" customWidth="1"/>
    <col min="10979" max="10979" width="2.85546875" style="548" customWidth="1"/>
    <col min="10980" max="10980" width="21.28515625" style="548" customWidth="1"/>
    <col min="10981" max="10981" width="34.85546875" style="548" customWidth="1"/>
    <col min="10982" max="10982" width="2.42578125" style="548" customWidth="1"/>
    <col min="10983" max="10983" width="3" style="548" customWidth="1"/>
    <col min="10984" max="10984" width="21.28515625" style="548" customWidth="1"/>
    <col min="10985" max="10985" width="35" style="548" customWidth="1"/>
    <col min="10986" max="10986" width="2.42578125" style="548" customWidth="1"/>
    <col min="10987" max="10987" width="2.85546875" style="548" customWidth="1"/>
    <col min="10988" max="10988" width="21.28515625" style="548" customWidth="1"/>
    <col min="10989" max="10989" width="34.85546875" style="548" customWidth="1"/>
    <col min="10990" max="10990" width="2.42578125" style="548" customWidth="1"/>
    <col min="10991" max="10991" width="2.85546875" style="548" customWidth="1"/>
    <col min="10992" max="10992" width="21.28515625" style="548" customWidth="1"/>
    <col min="10993" max="10993" width="34.85546875" style="548" customWidth="1"/>
    <col min="10994" max="10994" width="2.42578125" style="548" customWidth="1"/>
    <col min="10995" max="10995" width="2.85546875" style="548" customWidth="1"/>
    <col min="10996" max="10996" width="21.28515625" style="548" customWidth="1"/>
    <col min="10997" max="10997" width="34.85546875" style="548" customWidth="1"/>
    <col min="10998" max="10998" width="2.42578125" style="548" customWidth="1"/>
    <col min="10999" max="10999" width="2.85546875" style="548" customWidth="1"/>
    <col min="11000" max="11000" width="21.28515625" style="548" customWidth="1"/>
    <col min="11001" max="11001" width="34.85546875" style="548" customWidth="1"/>
    <col min="11002" max="11002" width="2.42578125" style="548" customWidth="1"/>
    <col min="11003" max="11003" width="2.85546875" style="548" customWidth="1"/>
    <col min="11004" max="11004" width="21.28515625" style="548" customWidth="1"/>
    <col min="11005" max="11005" width="34.85546875" style="548" customWidth="1"/>
    <col min="11006" max="11006" width="2.42578125" style="548" customWidth="1"/>
    <col min="11007" max="11007" width="2.85546875" style="548" customWidth="1"/>
    <col min="11008" max="11008" width="21.28515625" style="548" customWidth="1"/>
    <col min="11009" max="11009" width="34.85546875" style="548" customWidth="1"/>
    <col min="11010" max="11010" width="2.42578125" style="548" customWidth="1"/>
    <col min="11011" max="11011" width="2.85546875" style="548" customWidth="1"/>
    <col min="11012" max="11012" width="21.28515625" style="548" customWidth="1"/>
    <col min="11013" max="11013" width="34.7109375" style="548" customWidth="1"/>
    <col min="11014" max="11014" width="2.42578125" style="548" customWidth="1"/>
    <col min="11015" max="11015" width="2.85546875" style="548" customWidth="1"/>
    <col min="11016" max="11016" width="13.42578125" style="548" customWidth="1"/>
    <col min="11017" max="11017" width="42.85546875" style="548" customWidth="1"/>
    <col min="11018" max="11233" width="9.140625" style="548"/>
    <col min="11234" max="11234" width="2.42578125" style="548" customWidth="1"/>
    <col min="11235" max="11235" width="2.85546875" style="548" customWidth="1"/>
    <col min="11236" max="11236" width="21.28515625" style="548" customWidth="1"/>
    <col min="11237" max="11237" width="34.85546875" style="548" customWidth="1"/>
    <col min="11238" max="11238" width="2.42578125" style="548" customWidth="1"/>
    <col min="11239" max="11239" width="3" style="548" customWidth="1"/>
    <col min="11240" max="11240" width="21.28515625" style="548" customWidth="1"/>
    <col min="11241" max="11241" width="35" style="548" customWidth="1"/>
    <col min="11242" max="11242" width="2.42578125" style="548" customWidth="1"/>
    <col min="11243" max="11243" width="2.85546875" style="548" customWidth="1"/>
    <col min="11244" max="11244" width="21.28515625" style="548" customWidth="1"/>
    <col min="11245" max="11245" width="34.85546875" style="548" customWidth="1"/>
    <col min="11246" max="11246" width="2.42578125" style="548" customWidth="1"/>
    <col min="11247" max="11247" width="2.85546875" style="548" customWidth="1"/>
    <col min="11248" max="11248" width="21.28515625" style="548" customWidth="1"/>
    <col min="11249" max="11249" width="34.85546875" style="548" customWidth="1"/>
    <col min="11250" max="11250" width="2.42578125" style="548" customWidth="1"/>
    <col min="11251" max="11251" width="2.85546875" style="548" customWidth="1"/>
    <col min="11252" max="11252" width="21.28515625" style="548" customWidth="1"/>
    <col min="11253" max="11253" width="34.85546875" style="548" customWidth="1"/>
    <col min="11254" max="11254" width="2.42578125" style="548" customWidth="1"/>
    <col min="11255" max="11255" width="2.85546875" style="548" customWidth="1"/>
    <col min="11256" max="11256" width="21.28515625" style="548" customWidth="1"/>
    <col min="11257" max="11257" width="34.85546875" style="548" customWidth="1"/>
    <col min="11258" max="11258" width="2.42578125" style="548" customWidth="1"/>
    <col min="11259" max="11259" width="2.85546875" style="548" customWidth="1"/>
    <col min="11260" max="11260" width="21.28515625" style="548" customWidth="1"/>
    <col min="11261" max="11261" width="34.85546875" style="548" customWidth="1"/>
    <col min="11262" max="11262" width="2.42578125" style="548" customWidth="1"/>
    <col min="11263" max="11263" width="2.85546875" style="548" customWidth="1"/>
    <col min="11264" max="11264" width="21.28515625" style="548" customWidth="1"/>
    <col min="11265" max="11265" width="34.85546875" style="548" customWidth="1"/>
    <col min="11266" max="11266" width="2.42578125" style="548" customWidth="1"/>
    <col min="11267" max="11267" width="2.85546875" style="548" customWidth="1"/>
    <col min="11268" max="11268" width="21.28515625" style="548" customWidth="1"/>
    <col min="11269" max="11269" width="34.7109375" style="548" customWidth="1"/>
    <col min="11270" max="11270" width="2.42578125" style="548" customWidth="1"/>
    <col min="11271" max="11271" width="2.85546875" style="548" customWidth="1"/>
    <col min="11272" max="11272" width="13.42578125" style="548" customWidth="1"/>
    <col min="11273" max="11273" width="42.85546875" style="548" customWidth="1"/>
    <col min="11274" max="11489" width="9.140625" style="548"/>
    <col min="11490" max="11490" width="2.42578125" style="548" customWidth="1"/>
    <col min="11491" max="11491" width="2.85546875" style="548" customWidth="1"/>
    <col min="11492" max="11492" width="21.28515625" style="548" customWidth="1"/>
    <col min="11493" max="11493" width="34.85546875" style="548" customWidth="1"/>
    <col min="11494" max="11494" width="2.42578125" style="548" customWidth="1"/>
    <col min="11495" max="11495" width="3" style="548" customWidth="1"/>
    <col min="11496" max="11496" width="21.28515625" style="548" customWidth="1"/>
    <col min="11497" max="11497" width="35" style="548" customWidth="1"/>
    <col min="11498" max="11498" width="2.42578125" style="548" customWidth="1"/>
    <col min="11499" max="11499" width="2.85546875" style="548" customWidth="1"/>
    <col min="11500" max="11500" width="21.28515625" style="548" customWidth="1"/>
    <col min="11501" max="11501" width="34.85546875" style="548" customWidth="1"/>
    <col min="11502" max="11502" width="2.42578125" style="548" customWidth="1"/>
    <col min="11503" max="11503" width="2.85546875" style="548" customWidth="1"/>
    <col min="11504" max="11504" width="21.28515625" style="548" customWidth="1"/>
    <col min="11505" max="11505" width="34.85546875" style="548" customWidth="1"/>
    <col min="11506" max="11506" width="2.42578125" style="548" customWidth="1"/>
    <col min="11507" max="11507" width="2.85546875" style="548" customWidth="1"/>
    <col min="11508" max="11508" width="21.28515625" style="548" customWidth="1"/>
    <col min="11509" max="11509" width="34.85546875" style="548" customWidth="1"/>
    <col min="11510" max="11510" width="2.42578125" style="548" customWidth="1"/>
    <col min="11511" max="11511" width="2.85546875" style="548" customWidth="1"/>
    <col min="11512" max="11512" width="21.28515625" style="548" customWidth="1"/>
    <col min="11513" max="11513" width="34.85546875" style="548" customWidth="1"/>
    <col min="11514" max="11514" width="2.42578125" style="548" customWidth="1"/>
    <col min="11515" max="11515" width="2.85546875" style="548" customWidth="1"/>
    <col min="11516" max="11516" width="21.28515625" style="548" customWidth="1"/>
    <col min="11517" max="11517" width="34.85546875" style="548" customWidth="1"/>
    <col min="11518" max="11518" width="2.42578125" style="548" customWidth="1"/>
    <col min="11519" max="11519" width="2.85546875" style="548" customWidth="1"/>
    <col min="11520" max="11520" width="21.28515625" style="548" customWidth="1"/>
    <col min="11521" max="11521" width="34.85546875" style="548" customWidth="1"/>
    <col min="11522" max="11522" width="2.42578125" style="548" customWidth="1"/>
    <col min="11523" max="11523" width="2.85546875" style="548" customWidth="1"/>
    <col min="11524" max="11524" width="21.28515625" style="548" customWidth="1"/>
    <col min="11525" max="11525" width="34.7109375" style="548" customWidth="1"/>
    <col min="11526" max="11526" width="2.42578125" style="548" customWidth="1"/>
    <col min="11527" max="11527" width="2.85546875" style="548" customWidth="1"/>
    <col min="11528" max="11528" width="13.42578125" style="548" customWidth="1"/>
    <col min="11529" max="11529" width="42.85546875" style="548" customWidth="1"/>
    <col min="11530" max="11745" width="9.140625" style="548"/>
    <col min="11746" max="11746" width="2.42578125" style="548" customWidth="1"/>
    <col min="11747" max="11747" width="2.85546875" style="548" customWidth="1"/>
    <col min="11748" max="11748" width="21.28515625" style="548" customWidth="1"/>
    <col min="11749" max="11749" width="34.85546875" style="548" customWidth="1"/>
    <col min="11750" max="11750" width="2.42578125" style="548" customWidth="1"/>
    <col min="11751" max="11751" width="3" style="548" customWidth="1"/>
    <col min="11752" max="11752" width="21.28515625" style="548" customWidth="1"/>
    <col min="11753" max="11753" width="35" style="548" customWidth="1"/>
    <col min="11754" max="11754" width="2.42578125" style="548" customWidth="1"/>
    <col min="11755" max="11755" width="2.85546875" style="548" customWidth="1"/>
    <col min="11756" max="11756" width="21.28515625" style="548" customWidth="1"/>
    <col min="11757" max="11757" width="34.85546875" style="548" customWidth="1"/>
    <col min="11758" max="11758" width="2.42578125" style="548" customWidth="1"/>
    <col min="11759" max="11759" width="2.85546875" style="548" customWidth="1"/>
    <col min="11760" max="11760" width="21.28515625" style="548" customWidth="1"/>
    <col min="11761" max="11761" width="34.85546875" style="548" customWidth="1"/>
    <col min="11762" max="11762" width="2.42578125" style="548" customWidth="1"/>
    <col min="11763" max="11763" width="2.85546875" style="548" customWidth="1"/>
    <col min="11764" max="11764" width="21.28515625" style="548" customWidth="1"/>
    <col min="11765" max="11765" width="34.85546875" style="548" customWidth="1"/>
    <col min="11766" max="11766" width="2.42578125" style="548" customWidth="1"/>
    <col min="11767" max="11767" width="2.85546875" style="548" customWidth="1"/>
    <col min="11768" max="11768" width="21.28515625" style="548" customWidth="1"/>
    <col min="11769" max="11769" width="34.85546875" style="548" customWidth="1"/>
    <col min="11770" max="11770" width="2.42578125" style="548" customWidth="1"/>
    <col min="11771" max="11771" width="2.85546875" style="548" customWidth="1"/>
    <col min="11772" max="11772" width="21.28515625" style="548" customWidth="1"/>
    <col min="11773" max="11773" width="34.85546875" style="548" customWidth="1"/>
    <col min="11774" max="11774" width="2.42578125" style="548" customWidth="1"/>
    <col min="11775" max="11775" width="2.85546875" style="548" customWidth="1"/>
    <col min="11776" max="11776" width="21.28515625" style="548" customWidth="1"/>
    <col min="11777" max="11777" width="34.85546875" style="548" customWidth="1"/>
    <col min="11778" max="11778" width="2.42578125" style="548" customWidth="1"/>
    <col min="11779" max="11779" width="2.85546875" style="548" customWidth="1"/>
    <col min="11780" max="11780" width="21.28515625" style="548" customWidth="1"/>
    <col min="11781" max="11781" width="34.7109375" style="548" customWidth="1"/>
    <col min="11782" max="11782" width="2.42578125" style="548" customWidth="1"/>
    <col min="11783" max="11783" width="2.85546875" style="548" customWidth="1"/>
    <col min="11784" max="11784" width="13.42578125" style="548" customWidth="1"/>
    <col min="11785" max="11785" width="42.85546875" style="548" customWidth="1"/>
    <col min="11786" max="12001" width="9.140625" style="548"/>
    <col min="12002" max="12002" width="2.42578125" style="548" customWidth="1"/>
    <col min="12003" max="12003" width="2.85546875" style="548" customWidth="1"/>
    <col min="12004" max="12004" width="21.28515625" style="548" customWidth="1"/>
    <col min="12005" max="12005" width="34.85546875" style="548" customWidth="1"/>
    <col min="12006" max="12006" width="2.42578125" style="548" customWidth="1"/>
    <col min="12007" max="12007" width="3" style="548" customWidth="1"/>
    <col min="12008" max="12008" width="21.28515625" style="548" customWidth="1"/>
    <col min="12009" max="12009" width="35" style="548" customWidth="1"/>
    <col min="12010" max="12010" width="2.42578125" style="548" customWidth="1"/>
    <col min="12011" max="12011" width="2.85546875" style="548" customWidth="1"/>
    <col min="12012" max="12012" width="21.28515625" style="548" customWidth="1"/>
    <col min="12013" max="12013" width="34.85546875" style="548" customWidth="1"/>
    <col min="12014" max="12014" width="2.42578125" style="548" customWidth="1"/>
    <col min="12015" max="12015" width="2.85546875" style="548" customWidth="1"/>
    <col min="12016" max="12016" width="21.28515625" style="548" customWidth="1"/>
    <col min="12017" max="12017" width="34.85546875" style="548" customWidth="1"/>
    <col min="12018" max="12018" width="2.42578125" style="548" customWidth="1"/>
    <col min="12019" max="12019" width="2.85546875" style="548" customWidth="1"/>
    <col min="12020" max="12020" width="21.28515625" style="548" customWidth="1"/>
    <col min="12021" max="12021" width="34.85546875" style="548" customWidth="1"/>
    <col min="12022" max="12022" width="2.42578125" style="548" customWidth="1"/>
    <col min="12023" max="12023" width="2.85546875" style="548" customWidth="1"/>
    <col min="12024" max="12024" width="21.28515625" style="548" customWidth="1"/>
    <col min="12025" max="12025" width="34.85546875" style="548" customWidth="1"/>
    <col min="12026" max="12026" width="2.42578125" style="548" customWidth="1"/>
    <col min="12027" max="12027" width="2.85546875" style="548" customWidth="1"/>
    <col min="12028" max="12028" width="21.28515625" style="548" customWidth="1"/>
    <col min="12029" max="12029" width="34.85546875" style="548" customWidth="1"/>
    <col min="12030" max="12030" width="2.42578125" style="548" customWidth="1"/>
    <col min="12031" max="12031" width="2.85546875" style="548" customWidth="1"/>
    <col min="12032" max="12032" width="21.28515625" style="548" customWidth="1"/>
    <col min="12033" max="12033" width="34.85546875" style="548" customWidth="1"/>
    <col min="12034" max="12034" width="2.42578125" style="548" customWidth="1"/>
    <col min="12035" max="12035" width="2.85546875" style="548" customWidth="1"/>
    <col min="12036" max="12036" width="21.28515625" style="548" customWidth="1"/>
    <col min="12037" max="12037" width="34.7109375" style="548" customWidth="1"/>
    <col min="12038" max="12038" width="2.42578125" style="548" customWidth="1"/>
    <col min="12039" max="12039" width="2.85546875" style="548" customWidth="1"/>
    <col min="12040" max="12040" width="13.42578125" style="548" customWidth="1"/>
    <col min="12041" max="12041" width="42.85546875" style="548" customWidth="1"/>
    <col min="12042" max="12257" width="9.140625" style="548"/>
    <col min="12258" max="12258" width="2.42578125" style="548" customWidth="1"/>
    <col min="12259" max="12259" width="2.85546875" style="548" customWidth="1"/>
    <col min="12260" max="12260" width="21.28515625" style="548" customWidth="1"/>
    <col min="12261" max="12261" width="34.85546875" style="548" customWidth="1"/>
    <col min="12262" max="12262" width="2.42578125" style="548" customWidth="1"/>
    <col min="12263" max="12263" width="3" style="548" customWidth="1"/>
    <col min="12264" max="12264" width="21.28515625" style="548" customWidth="1"/>
    <col min="12265" max="12265" width="35" style="548" customWidth="1"/>
    <col min="12266" max="12266" width="2.42578125" style="548" customWidth="1"/>
    <col min="12267" max="12267" width="2.85546875" style="548" customWidth="1"/>
    <col min="12268" max="12268" width="21.28515625" style="548" customWidth="1"/>
    <col min="12269" max="12269" width="34.85546875" style="548" customWidth="1"/>
    <col min="12270" max="12270" width="2.42578125" style="548" customWidth="1"/>
    <col min="12271" max="12271" width="2.85546875" style="548" customWidth="1"/>
    <col min="12272" max="12272" width="21.28515625" style="548" customWidth="1"/>
    <col min="12273" max="12273" width="34.85546875" style="548" customWidth="1"/>
    <col min="12274" max="12274" width="2.42578125" style="548" customWidth="1"/>
    <col min="12275" max="12275" width="2.85546875" style="548" customWidth="1"/>
    <col min="12276" max="12276" width="21.28515625" style="548" customWidth="1"/>
    <col min="12277" max="12277" width="34.85546875" style="548" customWidth="1"/>
    <col min="12278" max="12278" width="2.42578125" style="548" customWidth="1"/>
    <col min="12279" max="12279" width="2.85546875" style="548" customWidth="1"/>
    <col min="12280" max="12280" width="21.28515625" style="548" customWidth="1"/>
    <col min="12281" max="12281" width="34.85546875" style="548" customWidth="1"/>
    <col min="12282" max="12282" width="2.42578125" style="548" customWidth="1"/>
    <col min="12283" max="12283" width="2.85546875" style="548" customWidth="1"/>
    <col min="12284" max="12284" width="21.28515625" style="548" customWidth="1"/>
    <col min="12285" max="12285" width="34.85546875" style="548" customWidth="1"/>
    <col min="12286" max="12286" width="2.42578125" style="548" customWidth="1"/>
    <col min="12287" max="12287" width="2.85546875" style="548" customWidth="1"/>
    <col min="12288" max="12288" width="21.28515625" style="548" customWidth="1"/>
    <col min="12289" max="12289" width="34.85546875" style="548" customWidth="1"/>
    <col min="12290" max="12290" width="2.42578125" style="548" customWidth="1"/>
    <col min="12291" max="12291" width="2.85546875" style="548" customWidth="1"/>
    <col min="12292" max="12292" width="21.28515625" style="548" customWidth="1"/>
    <col min="12293" max="12293" width="34.7109375" style="548" customWidth="1"/>
    <col min="12294" max="12294" width="2.42578125" style="548" customWidth="1"/>
    <col min="12295" max="12295" width="2.85546875" style="548" customWidth="1"/>
    <col min="12296" max="12296" width="13.42578125" style="548" customWidth="1"/>
    <col min="12297" max="12297" width="42.85546875" style="548" customWidth="1"/>
    <col min="12298" max="12513" width="9.140625" style="548"/>
    <col min="12514" max="12514" width="2.42578125" style="548" customWidth="1"/>
    <col min="12515" max="12515" width="2.85546875" style="548" customWidth="1"/>
    <col min="12516" max="12516" width="21.28515625" style="548" customWidth="1"/>
    <col min="12517" max="12517" width="34.85546875" style="548" customWidth="1"/>
    <col min="12518" max="12518" width="2.42578125" style="548" customWidth="1"/>
    <col min="12519" max="12519" width="3" style="548" customWidth="1"/>
    <col min="12520" max="12520" width="21.28515625" style="548" customWidth="1"/>
    <col min="12521" max="12521" width="35" style="548" customWidth="1"/>
    <col min="12522" max="12522" width="2.42578125" style="548" customWidth="1"/>
    <col min="12523" max="12523" width="2.85546875" style="548" customWidth="1"/>
    <col min="12524" max="12524" width="21.28515625" style="548" customWidth="1"/>
    <col min="12525" max="12525" width="34.85546875" style="548" customWidth="1"/>
    <col min="12526" max="12526" width="2.42578125" style="548" customWidth="1"/>
    <col min="12527" max="12527" width="2.85546875" style="548" customWidth="1"/>
    <col min="12528" max="12528" width="21.28515625" style="548" customWidth="1"/>
    <col min="12529" max="12529" width="34.85546875" style="548" customWidth="1"/>
    <col min="12530" max="12530" width="2.42578125" style="548" customWidth="1"/>
    <col min="12531" max="12531" width="2.85546875" style="548" customWidth="1"/>
    <col min="12532" max="12532" width="21.28515625" style="548" customWidth="1"/>
    <col min="12533" max="12533" width="34.85546875" style="548" customWidth="1"/>
    <col min="12534" max="12534" width="2.42578125" style="548" customWidth="1"/>
    <col min="12535" max="12535" width="2.85546875" style="548" customWidth="1"/>
    <col min="12536" max="12536" width="21.28515625" style="548" customWidth="1"/>
    <col min="12537" max="12537" width="34.85546875" style="548" customWidth="1"/>
    <col min="12538" max="12538" width="2.42578125" style="548" customWidth="1"/>
    <col min="12539" max="12539" width="2.85546875" style="548" customWidth="1"/>
    <col min="12540" max="12540" width="21.28515625" style="548" customWidth="1"/>
    <col min="12541" max="12541" width="34.85546875" style="548" customWidth="1"/>
    <col min="12542" max="12542" width="2.42578125" style="548" customWidth="1"/>
    <col min="12543" max="12543" width="2.85546875" style="548" customWidth="1"/>
    <col min="12544" max="12544" width="21.28515625" style="548" customWidth="1"/>
    <col min="12545" max="12545" width="34.85546875" style="548" customWidth="1"/>
    <col min="12546" max="12546" width="2.42578125" style="548" customWidth="1"/>
    <col min="12547" max="12547" width="2.85546875" style="548" customWidth="1"/>
    <col min="12548" max="12548" width="21.28515625" style="548" customWidth="1"/>
    <col min="12549" max="12549" width="34.7109375" style="548" customWidth="1"/>
    <col min="12550" max="12550" width="2.42578125" style="548" customWidth="1"/>
    <col min="12551" max="12551" width="2.85546875" style="548" customWidth="1"/>
    <col min="12552" max="12552" width="13.42578125" style="548" customWidth="1"/>
    <col min="12553" max="12553" width="42.85546875" style="548" customWidth="1"/>
    <col min="12554" max="12769" width="9.140625" style="548"/>
    <col min="12770" max="12770" width="2.42578125" style="548" customWidth="1"/>
    <col min="12771" max="12771" width="2.85546875" style="548" customWidth="1"/>
    <col min="12772" max="12772" width="21.28515625" style="548" customWidth="1"/>
    <col min="12773" max="12773" width="34.85546875" style="548" customWidth="1"/>
    <col min="12774" max="12774" width="2.42578125" style="548" customWidth="1"/>
    <col min="12775" max="12775" width="3" style="548" customWidth="1"/>
    <col min="12776" max="12776" width="21.28515625" style="548" customWidth="1"/>
    <col min="12777" max="12777" width="35" style="548" customWidth="1"/>
    <col min="12778" max="12778" width="2.42578125" style="548" customWidth="1"/>
    <col min="12779" max="12779" width="2.85546875" style="548" customWidth="1"/>
    <col min="12780" max="12780" width="21.28515625" style="548" customWidth="1"/>
    <col min="12781" max="12781" width="34.85546875" style="548" customWidth="1"/>
    <col min="12782" max="12782" width="2.42578125" style="548" customWidth="1"/>
    <col min="12783" max="12783" width="2.85546875" style="548" customWidth="1"/>
    <col min="12784" max="12784" width="21.28515625" style="548" customWidth="1"/>
    <col min="12785" max="12785" width="34.85546875" style="548" customWidth="1"/>
    <col min="12786" max="12786" width="2.42578125" style="548" customWidth="1"/>
    <col min="12787" max="12787" width="2.85546875" style="548" customWidth="1"/>
    <col min="12788" max="12788" width="21.28515625" style="548" customWidth="1"/>
    <col min="12789" max="12789" width="34.85546875" style="548" customWidth="1"/>
    <col min="12790" max="12790" width="2.42578125" style="548" customWidth="1"/>
    <col min="12791" max="12791" width="2.85546875" style="548" customWidth="1"/>
    <col min="12792" max="12792" width="21.28515625" style="548" customWidth="1"/>
    <col min="12793" max="12793" width="34.85546875" style="548" customWidth="1"/>
    <col min="12794" max="12794" width="2.42578125" style="548" customWidth="1"/>
    <col min="12795" max="12795" width="2.85546875" style="548" customWidth="1"/>
    <col min="12796" max="12796" width="21.28515625" style="548" customWidth="1"/>
    <col min="12797" max="12797" width="34.85546875" style="548" customWidth="1"/>
    <col min="12798" max="12798" width="2.42578125" style="548" customWidth="1"/>
    <col min="12799" max="12799" width="2.85546875" style="548" customWidth="1"/>
    <col min="12800" max="12800" width="21.28515625" style="548" customWidth="1"/>
    <col min="12801" max="12801" width="34.85546875" style="548" customWidth="1"/>
    <col min="12802" max="12802" width="2.42578125" style="548" customWidth="1"/>
    <col min="12803" max="12803" width="2.85546875" style="548" customWidth="1"/>
    <col min="12804" max="12804" width="21.28515625" style="548" customWidth="1"/>
    <col min="12805" max="12805" width="34.7109375" style="548" customWidth="1"/>
    <col min="12806" max="12806" width="2.42578125" style="548" customWidth="1"/>
    <col min="12807" max="12807" width="2.85546875" style="548" customWidth="1"/>
    <col min="12808" max="12808" width="13.42578125" style="548" customWidth="1"/>
    <col min="12809" max="12809" width="42.85546875" style="548" customWidth="1"/>
    <col min="12810" max="13025" width="9.140625" style="548"/>
    <col min="13026" max="13026" width="2.42578125" style="548" customWidth="1"/>
    <col min="13027" max="13027" width="2.85546875" style="548" customWidth="1"/>
    <col min="13028" max="13028" width="21.28515625" style="548" customWidth="1"/>
    <col min="13029" max="13029" width="34.85546875" style="548" customWidth="1"/>
    <col min="13030" max="13030" width="2.42578125" style="548" customWidth="1"/>
    <col min="13031" max="13031" width="3" style="548" customWidth="1"/>
    <col min="13032" max="13032" width="21.28515625" style="548" customWidth="1"/>
    <col min="13033" max="13033" width="35" style="548" customWidth="1"/>
    <col min="13034" max="13034" width="2.42578125" style="548" customWidth="1"/>
    <col min="13035" max="13035" width="2.85546875" style="548" customWidth="1"/>
    <col min="13036" max="13036" width="21.28515625" style="548" customWidth="1"/>
    <col min="13037" max="13037" width="34.85546875" style="548" customWidth="1"/>
    <col min="13038" max="13038" width="2.42578125" style="548" customWidth="1"/>
    <col min="13039" max="13039" width="2.85546875" style="548" customWidth="1"/>
    <col min="13040" max="13040" width="21.28515625" style="548" customWidth="1"/>
    <col min="13041" max="13041" width="34.85546875" style="548" customWidth="1"/>
    <col min="13042" max="13042" width="2.42578125" style="548" customWidth="1"/>
    <col min="13043" max="13043" width="2.85546875" style="548" customWidth="1"/>
    <col min="13044" max="13044" width="21.28515625" style="548" customWidth="1"/>
    <col min="13045" max="13045" width="34.85546875" style="548" customWidth="1"/>
    <col min="13046" max="13046" width="2.42578125" style="548" customWidth="1"/>
    <col min="13047" max="13047" width="2.85546875" style="548" customWidth="1"/>
    <col min="13048" max="13048" width="21.28515625" style="548" customWidth="1"/>
    <col min="13049" max="13049" width="34.85546875" style="548" customWidth="1"/>
    <col min="13050" max="13050" width="2.42578125" style="548" customWidth="1"/>
    <col min="13051" max="13051" width="2.85546875" style="548" customWidth="1"/>
    <col min="13052" max="13052" width="21.28515625" style="548" customWidth="1"/>
    <col min="13053" max="13053" width="34.85546875" style="548" customWidth="1"/>
    <col min="13054" max="13054" width="2.42578125" style="548" customWidth="1"/>
    <col min="13055" max="13055" width="2.85546875" style="548" customWidth="1"/>
    <col min="13056" max="13056" width="21.28515625" style="548" customWidth="1"/>
    <col min="13057" max="13057" width="34.85546875" style="548" customWidth="1"/>
    <col min="13058" max="13058" width="2.42578125" style="548" customWidth="1"/>
    <col min="13059" max="13059" width="2.85546875" style="548" customWidth="1"/>
    <col min="13060" max="13060" width="21.28515625" style="548" customWidth="1"/>
    <col min="13061" max="13061" width="34.7109375" style="548" customWidth="1"/>
    <col min="13062" max="13062" width="2.42578125" style="548" customWidth="1"/>
    <col min="13063" max="13063" width="2.85546875" style="548" customWidth="1"/>
    <col min="13064" max="13064" width="13.42578125" style="548" customWidth="1"/>
    <col min="13065" max="13065" width="42.85546875" style="548" customWidth="1"/>
    <col min="13066" max="13281" width="9.140625" style="548"/>
    <col min="13282" max="13282" width="2.42578125" style="548" customWidth="1"/>
    <col min="13283" max="13283" width="2.85546875" style="548" customWidth="1"/>
    <col min="13284" max="13284" width="21.28515625" style="548" customWidth="1"/>
    <col min="13285" max="13285" width="34.85546875" style="548" customWidth="1"/>
    <col min="13286" max="13286" width="2.42578125" style="548" customWidth="1"/>
    <col min="13287" max="13287" width="3" style="548" customWidth="1"/>
    <col min="13288" max="13288" width="21.28515625" style="548" customWidth="1"/>
    <col min="13289" max="13289" width="35" style="548" customWidth="1"/>
    <col min="13290" max="13290" width="2.42578125" style="548" customWidth="1"/>
    <col min="13291" max="13291" width="2.85546875" style="548" customWidth="1"/>
    <col min="13292" max="13292" width="21.28515625" style="548" customWidth="1"/>
    <col min="13293" max="13293" width="34.85546875" style="548" customWidth="1"/>
    <col min="13294" max="13294" width="2.42578125" style="548" customWidth="1"/>
    <col min="13295" max="13295" width="2.85546875" style="548" customWidth="1"/>
    <col min="13296" max="13296" width="21.28515625" style="548" customWidth="1"/>
    <col min="13297" max="13297" width="34.85546875" style="548" customWidth="1"/>
    <col min="13298" max="13298" width="2.42578125" style="548" customWidth="1"/>
    <col min="13299" max="13299" width="2.85546875" style="548" customWidth="1"/>
    <col min="13300" max="13300" width="21.28515625" style="548" customWidth="1"/>
    <col min="13301" max="13301" width="34.85546875" style="548" customWidth="1"/>
    <col min="13302" max="13302" width="2.42578125" style="548" customWidth="1"/>
    <col min="13303" max="13303" width="2.85546875" style="548" customWidth="1"/>
    <col min="13304" max="13304" width="21.28515625" style="548" customWidth="1"/>
    <col min="13305" max="13305" width="34.85546875" style="548" customWidth="1"/>
    <col min="13306" max="13306" width="2.42578125" style="548" customWidth="1"/>
    <col min="13307" max="13307" width="2.85546875" style="548" customWidth="1"/>
    <col min="13308" max="13308" width="21.28515625" style="548" customWidth="1"/>
    <col min="13309" max="13309" width="34.85546875" style="548" customWidth="1"/>
    <col min="13310" max="13310" width="2.42578125" style="548" customWidth="1"/>
    <col min="13311" max="13311" width="2.85546875" style="548" customWidth="1"/>
    <col min="13312" max="13312" width="21.28515625" style="548" customWidth="1"/>
    <col min="13313" max="13313" width="34.85546875" style="548" customWidth="1"/>
    <col min="13314" max="13314" width="2.42578125" style="548" customWidth="1"/>
    <col min="13315" max="13315" width="2.85546875" style="548" customWidth="1"/>
    <col min="13316" max="13316" width="21.28515625" style="548" customWidth="1"/>
    <col min="13317" max="13317" width="34.7109375" style="548" customWidth="1"/>
    <col min="13318" max="13318" width="2.42578125" style="548" customWidth="1"/>
    <col min="13319" max="13319" width="2.85546875" style="548" customWidth="1"/>
    <col min="13320" max="13320" width="13.42578125" style="548" customWidth="1"/>
    <col min="13321" max="13321" width="42.85546875" style="548" customWidth="1"/>
    <col min="13322" max="13537" width="9.140625" style="548"/>
    <col min="13538" max="13538" width="2.42578125" style="548" customWidth="1"/>
    <col min="13539" max="13539" width="2.85546875" style="548" customWidth="1"/>
    <col min="13540" max="13540" width="21.28515625" style="548" customWidth="1"/>
    <col min="13541" max="13541" width="34.85546875" style="548" customWidth="1"/>
    <col min="13542" max="13542" width="2.42578125" style="548" customWidth="1"/>
    <col min="13543" max="13543" width="3" style="548" customWidth="1"/>
    <col min="13544" max="13544" width="21.28515625" style="548" customWidth="1"/>
    <col min="13545" max="13545" width="35" style="548" customWidth="1"/>
    <col min="13546" max="13546" width="2.42578125" style="548" customWidth="1"/>
    <col min="13547" max="13547" width="2.85546875" style="548" customWidth="1"/>
    <col min="13548" max="13548" width="21.28515625" style="548" customWidth="1"/>
    <col min="13549" max="13549" width="34.85546875" style="548" customWidth="1"/>
    <col min="13550" max="13550" width="2.42578125" style="548" customWidth="1"/>
    <col min="13551" max="13551" width="2.85546875" style="548" customWidth="1"/>
    <col min="13552" max="13552" width="21.28515625" style="548" customWidth="1"/>
    <col min="13553" max="13553" width="34.85546875" style="548" customWidth="1"/>
    <col min="13554" max="13554" width="2.42578125" style="548" customWidth="1"/>
    <col min="13555" max="13555" width="2.85546875" style="548" customWidth="1"/>
    <col min="13556" max="13556" width="21.28515625" style="548" customWidth="1"/>
    <col min="13557" max="13557" width="34.85546875" style="548" customWidth="1"/>
    <col min="13558" max="13558" width="2.42578125" style="548" customWidth="1"/>
    <col min="13559" max="13559" width="2.85546875" style="548" customWidth="1"/>
    <col min="13560" max="13560" width="21.28515625" style="548" customWidth="1"/>
    <col min="13561" max="13561" width="34.85546875" style="548" customWidth="1"/>
    <col min="13562" max="13562" width="2.42578125" style="548" customWidth="1"/>
    <col min="13563" max="13563" width="2.85546875" style="548" customWidth="1"/>
    <col min="13564" max="13564" width="21.28515625" style="548" customWidth="1"/>
    <col min="13565" max="13565" width="34.85546875" style="548" customWidth="1"/>
    <col min="13566" max="13566" width="2.42578125" style="548" customWidth="1"/>
    <col min="13567" max="13567" width="2.85546875" style="548" customWidth="1"/>
    <col min="13568" max="13568" width="21.28515625" style="548" customWidth="1"/>
    <col min="13569" max="13569" width="34.85546875" style="548" customWidth="1"/>
    <col min="13570" max="13570" width="2.42578125" style="548" customWidth="1"/>
    <col min="13571" max="13571" width="2.85546875" style="548" customWidth="1"/>
    <col min="13572" max="13572" width="21.28515625" style="548" customWidth="1"/>
    <col min="13573" max="13573" width="34.7109375" style="548" customWidth="1"/>
    <col min="13574" max="13574" width="2.42578125" style="548" customWidth="1"/>
    <col min="13575" max="13575" width="2.85546875" style="548" customWidth="1"/>
    <col min="13576" max="13576" width="13.42578125" style="548" customWidth="1"/>
    <col min="13577" max="13577" width="42.85546875" style="548" customWidth="1"/>
    <col min="13578" max="13793" width="9.140625" style="548"/>
    <col min="13794" max="13794" width="2.42578125" style="548" customWidth="1"/>
    <col min="13795" max="13795" width="2.85546875" style="548" customWidth="1"/>
    <col min="13796" max="13796" width="21.28515625" style="548" customWidth="1"/>
    <col min="13797" max="13797" width="34.85546875" style="548" customWidth="1"/>
    <col min="13798" max="13798" width="2.42578125" style="548" customWidth="1"/>
    <col min="13799" max="13799" width="3" style="548" customWidth="1"/>
    <col min="13800" max="13800" width="21.28515625" style="548" customWidth="1"/>
    <col min="13801" max="13801" width="35" style="548" customWidth="1"/>
    <col min="13802" max="13802" width="2.42578125" style="548" customWidth="1"/>
    <col min="13803" max="13803" width="2.85546875" style="548" customWidth="1"/>
    <col min="13804" max="13804" width="21.28515625" style="548" customWidth="1"/>
    <col min="13805" max="13805" width="34.85546875" style="548" customWidth="1"/>
    <col min="13806" max="13806" width="2.42578125" style="548" customWidth="1"/>
    <col min="13807" max="13807" width="2.85546875" style="548" customWidth="1"/>
    <col min="13808" max="13808" width="21.28515625" style="548" customWidth="1"/>
    <col min="13809" max="13809" width="34.85546875" style="548" customWidth="1"/>
    <col min="13810" max="13810" width="2.42578125" style="548" customWidth="1"/>
    <col min="13811" max="13811" width="2.85546875" style="548" customWidth="1"/>
    <col min="13812" max="13812" width="21.28515625" style="548" customWidth="1"/>
    <col min="13813" max="13813" width="34.85546875" style="548" customWidth="1"/>
    <col min="13814" max="13814" width="2.42578125" style="548" customWidth="1"/>
    <col min="13815" max="13815" width="2.85546875" style="548" customWidth="1"/>
    <col min="13816" max="13816" width="21.28515625" style="548" customWidth="1"/>
    <col min="13817" max="13817" width="34.85546875" style="548" customWidth="1"/>
    <col min="13818" max="13818" width="2.42578125" style="548" customWidth="1"/>
    <col min="13819" max="13819" width="2.85546875" style="548" customWidth="1"/>
    <col min="13820" max="13820" width="21.28515625" style="548" customWidth="1"/>
    <col min="13821" max="13821" width="34.85546875" style="548" customWidth="1"/>
    <col min="13822" max="13822" width="2.42578125" style="548" customWidth="1"/>
    <col min="13823" max="13823" width="2.85546875" style="548" customWidth="1"/>
    <col min="13824" max="13824" width="21.28515625" style="548" customWidth="1"/>
    <col min="13825" max="13825" width="34.85546875" style="548" customWidth="1"/>
    <col min="13826" max="13826" width="2.42578125" style="548" customWidth="1"/>
    <col min="13827" max="13827" width="2.85546875" style="548" customWidth="1"/>
    <col min="13828" max="13828" width="21.28515625" style="548" customWidth="1"/>
    <col min="13829" max="13829" width="34.7109375" style="548" customWidth="1"/>
    <col min="13830" max="13830" width="2.42578125" style="548" customWidth="1"/>
    <col min="13831" max="13831" width="2.85546875" style="548" customWidth="1"/>
    <col min="13832" max="13832" width="13.42578125" style="548" customWidth="1"/>
    <col min="13833" max="13833" width="42.85546875" style="548" customWidth="1"/>
    <col min="13834" max="14049" width="9.140625" style="548"/>
    <col min="14050" max="14050" width="2.42578125" style="548" customWidth="1"/>
    <col min="14051" max="14051" width="2.85546875" style="548" customWidth="1"/>
    <col min="14052" max="14052" width="21.28515625" style="548" customWidth="1"/>
    <col min="14053" max="14053" width="34.85546875" style="548" customWidth="1"/>
    <col min="14054" max="14054" width="2.42578125" style="548" customWidth="1"/>
    <col min="14055" max="14055" width="3" style="548" customWidth="1"/>
    <col min="14056" max="14056" width="21.28515625" style="548" customWidth="1"/>
    <col min="14057" max="14057" width="35" style="548" customWidth="1"/>
    <col min="14058" max="14058" width="2.42578125" style="548" customWidth="1"/>
    <col min="14059" max="14059" width="2.85546875" style="548" customWidth="1"/>
    <col min="14060" max="14060" width="21.28515625" style="548" customWidth="1"/>
    <col min="14061" max="14061" width="34.85546875" style="548" customWidth="1"/>
    <col min="14062" max="14062" width="2.42578125" style="548" customWidth="1"/>
    <col min="14063" max="14063" width="2.85546875" style="548" customWidth="1"/>
    <col min="14064" max="14064" width="21.28515625" style="548" customWidth="1"/>
    <col min="14065" max="14065" width="34.85546875" style="548" customWidth="1"/>
    <col min="14066" max="14066" width="2.42578125" style="548" customWidth="1"/>
    <col min="14067" max="14067" width="2.85546875" style="548" customWidth="1"/>
    <col min="14068" max="14068" width="21.28515625" style="548" customWidth="1"/>
    <col min="14069" max="14069" width="34.85546875" style="548" customWidth="1"/>
    <col min="14070" max="14070" width="2.42578125" style="548" customWidth="1"/>
    <col min="14071" max="14071" width="2.85546875" style="548" customWidth="1"/>
    <col min="14072" max="14072" width="21.28515625" style="548" customWidth="1"/>
    <col min="14073" max="14073" width="34.85546875" style="548" customWidth="1"/>
    <col min="14074" max="14074" width="2.42578125" style="548" customWidth="1"/>
    <col min="14075" max="14075" width="2.85546875" style="548" customWidth="1"/>
    <col min="14076" max="14076" width="21.28515625" style="548" customWidth="1"/>
    <col min="14077" max="14077" width="34.85546875" style="548" customWidth="1"/>
    <col min="14078" max="14078" width="2.42578125" style="548" customWidth="1"/>
    <col min="14079" max="14079" width="2.85546875" style="548" customWidth="1"/>
    <col min="14080" max="14080" width="21.28515625" style="548" customWidth="1"/>
    <col min="14081" max="14081" width="34.85546875" style="548" customWidth="1"/>
    <col min="14082" max="14082" width="2.42578125" style="548" customWidth="1"/>
    <col min="14083" max="14083" width="2.85546875" style="548" customWidth="1"/>
    <col min="14084" max="14084" width="21.28515625" style="548" customWidth="1"/>
    <col min="14085" max="14085" width="34.7109375" style="548" customWidth="1"/>
    <col min="14086" max="14086" width="2.42578125" style="548" customWidth="1"/>
    <col min="14087" max="14087" width="2.85546875" style="548" customWidth="1"/>
    <col min="14088" max="14088" width="13.42578125" style="548" customWidth="1"/>
    <col min="14089" max="14089" width="42.85546875" style="548" customWidth="1"/>
    <col min="14090" max="14305" width="9.140625" style="548"/>
    <col min="14306" max="14306" width="2.42578125" style="548" customWidth="1"/>
    <col min="14307" max="14307" width="2.85546875" style="548" customWidth="1"/>
    <col min="14308" max="14308" width="21.28515625" style="548" customWidth="1"/>
    <col min="14309" max="14309" width="34.85546875" style="548" customWidth="1"/>
    <col min="14310" max="14310" width="2.42578125" style="548" customWidth="1"/>
    <col min="14311" max="14311" width="3" style="548" customWidth="1"/>
    <col min="14312" max="14312" width="21.28515625" style="548" customWidth="1"/>
    <col min="14313" max="14313" width="35" style="548" customWidth="1"/>
    <col min="14314" max="14314" width="2.42578125" style="548" customWidth="1"/>
    <col min="14315" max="14315" width="2.85546875" style="548" customWidth="1"/>
    <col min="14316" max="14316" width="21.28515625" style="548" customWidth="1"/>
    <col min="14317" max="14317" width="34.85546875" style="548" customWidth="1"/>
    <col min="14318" max="14318" width="2.42578125" style="548" customWidth="1"/>
    <col min="14319" max="14319" width="2.85546875" style="548" customWidth="1"/>
    <col min="14320" max="14320" width="21.28515625" style="548" customWidth="1"/>
    <col min="14321" max="14321" width="34.85546875" style="548" customWidth="1"/>
    <col min="14322" max="14322" width="2.42578125" style="548" customWidth="1"/>
    <col min="14323" max="14323" width="2.85546875" style="548" customWidth="1"/>
    <col min="14324" max="14324" width="21.28515625" style="548" customWidth="1"/>
    <col min="14325" max="14325" width="34.85546875" style="548" customWidth="1"/>
    <col min="14326" max="14326" width="2.42578125" style="548" customWidth="1"/>
    <col min="14327" max="14327" width="2.85546875" style="548" customWidth="1"/>
    <col min="14328" max="14328" width="21.28515625" style="548" customWidth="1"/>
    <col min="14329" max="14329" width="34.85546875" style="548" customWidth="1"/>
    <col min="14330" max="14330" width="2.42578125" style="548" customWidth="1"/>
    <col min="14331" max="14331" width="2.85546875" style="548" customWidth="1"/>
    <col min="14332" max="14332" width="21.28515625" style="548" customWidth="1"/>
    <col min="14333" max="14333" width="34.85546875" style="548" customWidth="1"/>
    <col min="14334" max="14334" width="2.42578125" style="548" customWidth="1"/>
    <col min="14335" max="14335" width="2.85546875" style="548" customWidth="1"/>
    <col min="14336" max="14336" width="21.28515625" style="548" customWidth="1"/>
    <col min="14337" max="14337" width="34.85546875" style="548" customWidth="1"/>
    <col min="14338" max="14338" width="2.42578125" style="548" customWidth="1"/>
    <col min="14339" max="14339" width="2.85546875" style="548" customWidth="1"/>
    <col min="14340" max="14340" width="21.28515625" style="548" customWidth="1"/>
    <col min="14341" max="14341" width="34.7109375" style="548" customWidth="1"/>
    <col min="14342" max="14342" width="2.42578125" style="548" customWidth="1"/>
    <col min="14343" max="14343" width="2.85546875" style="548" customWidth="1"/>
    <col min="14344" max="14344" width="13.42578125" style="548" customWidth="1"/>
    <col min="14345" max="14345" width="42.85546875" style="548" customWidth="1"/>
    <col min="14346" max="14561" width="9.140625" style="548"/>
    <col min="14562" max="14562" width="2.42578125" style="548" customWidth="1"/>
    <col min="14563" max="14563" width="2.85546875" style="548" customWidth="1"/>
    <col min="14564" max="14564" width="21.28515625" style="548" customWidth="1"/>
    <col min="14565" max="14565" width="34.85546875" style="548" customWidth="1"/>
    <col min="14566" max="14566" width="2.42578125" style="548" customWidth="1"/>
    <col min="14567" max="14567" width="3" style="548" customWidth="1"/>
    <col min="14568" max="14568" width="21.28515625" style="548" customWidth="1"/>
    <col min="14569" max="14569" width="35" style="548" customWidth="1"/>
    <col min="14570" max="14570" width="2.42578125" style="548" customWidth="1"/>
    <col min="14571" max="14571" width="2.85546875" style="548" customWidth="1"/>
    <col min="14572" max="14572" width="21.28515625" style="548" customWidth="1"/>
    <col min="14573" max="14573" width="34.85546875" style="548" customWidth="1"/>
    <col min="14574" max="14574" width="2.42578125" style="548" customWidth="1"/>
    <col min="14575" max="14575" width="2.85546875" style="548" customWidth="1"/>
    <col min="14576" max="14576" width="21.28515625" style="548" customWidth="1"/>
    <col min="14577" max="14577" width="34.85546875" style="548" customWidth="1"/>
    <col min="14578" max="14578" width="2.42578125" style="548" customWidth="1"/>
    <col min="14579" max="14579" width="2.85546875" style="548" customWidth="1"/>
    <col min="14580" max="14580" width="21.28515625" style="548" customWidth="1"/>
    <col min="14581" max="14581" width="34.85546875" style="548" customWidth="1"/>
    <col min="14582" max="14582" width="2.42578125" style="548" customWidth="1"/>
    <col min="14583" max="14583" width="2.85546875" style="548" customWidth="1"/>
    <col min="14584" max="14584" width="21.28515625" style="548" customWidth="1"/>
    <col min="14585" max="14585" width="34.85546875" style="548" customWidth="1"/>
    <col min="14586" max="14586" width="2.42578125" style="548" customWidth="1"/>
    <col min="14587" max="14587" width="2.85546875" style="548" customWidth="1"/>
    <col min="14588" max="14588" width="21.28515625" style="548" customWidth="1"/>
    <col min="14589" max="14589" width="34.85546875" style="548" customWidth="1"/>
    <col min="14590" max="14590" width="2.42578125" style="548" customWidth="1"/>
    <col min="14591" max="14591" width="2.85546875" style="548" customWidth="1"/>
    <col min="14592" max="14592" width="21.28515625" style="548" customWidth="1"/>
    <col min="14593" max="14593" width="34.85546875" style="548" customWidth="1"/>
    <col min="14594" max="14594" width="2.42578125" style="548" customWidth="1"/>
    <col min="14595" max="14595" width="2.85546875" style="548" customWidth="1"/>
    <col min="14596" max="14596" width="21.28515625" style="548" customWidth="1"/>
    <col min="14597" max="14597" width="34.7109375" style="548" customWidth="1"/>
    <col min="14598" max="14598" width="2.42578125" style="548" customWidth="1"/>
    <col min="14599" max="14599" width="2.85546875" style="548" customWidth="1"/>
    <col min="14600" max="14600" width="13.42578125" style="548" customWidth="1"/>
    <col min="14601" max="14601" width="42.85546875" style="548" customWidth="1"/>
    <col min="14602" max="14817" width="9.140625" style="548"/>
    <col min="14818" max="14818" width="2.42578125" style="548" customWidth="1"/>
    <col min="14819" max="14819" width="2.85546875" style="548" customWidth="1"/>
    <col min="14820" max="14820" width="21.28515625" style="548" customWidth="1"/>
    <col min="14821" max="14821" width="34.85546875" style="548" customWidth="1"/>
    <col min="14822" max="14822" width="2.42578125" style="548" customWidth="1"/>
    <col min="14823" max="14823" width="3" style="548" customWidth="1"/>
    <col min="14824" max="14824" width="21.28515625" style="548" customWidth="1"/>
    <col min="14825" max="14825" width="35" style="548" customWidth="1"/>
    <col min="14826" max="14826" width="2.42578125" style="548" customWidth="1"/>
    <col min="14827" max="14827" width="2.85546875" style="548" customWidth="1"/>
    <col min="14828" max="14828" width="21.28515625" style="548" customWidth="1"/>
    <col min="14829" max="14829" width="34.85546875" style="548" customWidth="1"/>
    <col min="14830" max="14830" width="2.42578125" style="548" customWidth="1"/>
    <col min="14831" max="14831" width="2.85546875" style="548" customWidth="1"/>
    <col min="14832" max="14832" width="21.28515625" style="548" customWidth="1"/>
    <col min="14833" max="14833" width="34.85546875" style="548" customWidth="1"/>
    <col min="14834" max="14834" width="2.42578125" style="548" customWidth="1"/>
    <col min="14835" max="14835" width="2.85546875" style="548" customWidth="1"/>
    <col min="14836" max="14836" width="21.28515625" style="548" customWidth="1"/>
    <col min="14837" max="14837" width="34.85546875" style="548" customWidth="1"/>
    <col min="14838" max="14838" width="2.42578125" style="548" customWidth="1"/>
    <col min="14839" max="14839" width="2.85546875" style="548" customWidth="1"/>
    <col min="14840" max="14840" width="21.28515625" style="548" customWidth="1"/>
    <col min="14841" max="14841" width="34.85546875" style="548" customWidth="1"/>
    <col min="14842" max="14842" width="2.42578125" style="548" customWidth="1"/>
    <col min="14843" max="14843" width="2.85546875" style="548" customWidth="1"/>
    <col min="14844" max="14844" width="21.28515625" style="548" customWidth="1"/>
    <col min="14845" max="14845" width="34.85546875" style="548" customWidth="1"/>
    <col min="14846" max="14846" width="2.42578125" style="548" customWidth="1"/>
    <col min="14847" max="14847" width="2.85546875" style="548" customWidth="1"/>
    <col min="14848" max="14848" width="21.28515625" style="548" customWidth="1"/>
    <col min="14849" max="14849" width="34.85546875" style="548" customWidth="1"/>
    <col min="14850" max="14850" width="2.42578125" style="548" customWidth="1"/>
    <col min="14851" max="14851" width="2.85546875" style="548" customWidth="1"/>
    <col min="14852" max="14852" width="21.28515625" style="548" customWidth="1"/>
    <col min="14853" max="14853" width="34.7109375" style="548" customWidth="1"/>
    <col min="14854" max="14854" width="2.42578125" style="548" customWidth="1"/>
    <col min="14855" max="14855" width="2.85546875" style="548" customWidth="1"/>
    <col min="14856" max="14856" width="13.42578125" style="548" customWidth="1"/>
    <col min="14857" max="14857" width="42.85546875" style="548" customWidth="1"/>
    <col min="14858" max="15073" width="9.140625" style="548"/>
    <col min="15074" max="15074" width="2.42578125" style="548" customWidth="1"/>
    <col min="15075" max="15075" width="2.85546875" style="548" customWidth="1"/>
    <col min="15076" max="15076" width="21.28515625" style="548" customWidth="1"/>
    <col min="15077" max="15077" width="34.85546875" style="548" customWidth="1"/>
    <col min="15078" max="15078" width="2.42578125" style="548" customWidth="1"/>
    <col min="15079" max="15079" width="3" style="548" customWidth="1"/>
    <col min="15080" max="15080" width="21.28515625" style="548" customWidth="1"/>
    <col min="15081" max="15081" width="35" style="548" customWidth="1"/>
    <col min="15082" max="15082" width="2.42578125" style="548" customWidth="1"/>
    <col min="15083" max="15083" width="2.85546875" style="548" customWidth="1"/>
    <col min="15084" max="15084" width="21.28515625" style="548" customWidth="1"/>
    <col min="15085" max="15085" width="34.85546875" style="548" customWidth="1"/>
    <col min="15086" max="15086" width="2.42578125" style="548" customWidth="1"/>
    <col min="15087" max="15087" width="2.85546875" style="548" customWidth="1"/>
    <col min="15088" max="15088" width="21.28515625" style="548" customWidth="1"/>
    <col min="15089" max="15089" width="34.85546875" style="548" customWidth="1"/>
    <col min="15090" max="15090" width="2.42578125" style="548" customWidth="1"/>
    <col min="15091" max="15091" width="2.85546875" style="548" customWidth="1"/>
    <col min="15092" max="15092" width="21.28515625" style="548" customWidth="1"/>
    <col min="15093" max="15093" width="34.85546875" style="548" customWidth="1"/>
    <col min="15094" max="15094" width="2.42578125" style="548" customWidth="1"/>
    <col min="15095" max="15095" width="2.85546875" style="548" customWidth="1"/>
    <col min="15096" max="15096" width="21.28515625" style="548" customWidth="1"/>
    <col min="15097" max="15097" width="34.85546875" style="548" customWidth="1"/>
    <col min="15098" max="15098" width="2.42578125" style="548" customWidth="1"/>
    <col min="15099" max="15099" width="2.85546875" style="548" customWidth="1"/>
    <col min="15100" max="15100" width="21.28515625" style="548" customWidth="1"/>
    <col min="15101" max="15101" width="34.85546875" style="548" customWidth="1"/>
    <col min="15102" max="15102" width="2.42578125" style="548" customWidth="1"/>
    <col min="15103" max="15103" width="2.85546875" style="548" customWidth="1"/>
    <col min="15104" max="15104" width="21.28515625" style="548" customWidth="1"/>
    <col min="15105" max="15105" width="34.85546875" style="548" customWidth="1"/>
    <col min="15106" max="15106" width="2.42578125" style="548" customWidth="1"/>
    <col min="15107" max="15107" width="2.85546875" style="548" customWidth="1"/>
    <col min="15108" max="15108" width="21.28515625" style="548" customWidth="1"/>
    <col min="15109" max="15109" width="34.7109375" style="548" customWidth="1"/>
    <col min="15110" max="15110" width="2.42578125" style="548" customWidth="1"/>
    <col min="15111" max="15111" width="2.85546875" style="548" customWidth="1"/>
    <col min="15112" max="15112" width="13.42578125" style="548" customWidth="1"/>
    <col min="15113" max="15113" width="42.85546875" style="548" customWidth="1"/>
    <col min="15114" max="15329" width="9.140625" style="548"/>
    <col min="15330" max="15330" width="2.42578125" style="548" customWidth="1"/>
    <col min="15331" max="15331" width="2.85546875" style="548" customWidth="1"/>
    <col min="15332" max="15332" width="21.28515625" style="548" customWidth="1"/>
    <col min="15333" max="15333" width="34.85546875" style="548" customWidth="1"/>
    <col min="15334" max="15334" width="2.42578125" style="548" customWidth="1"/>
    <col min="15335" max="15335" width="3" style="548" customWidth="1"/>
    <col min="15336" max="15336" width="21.28515625" style="548" customWidth="1"/>
    <col min="15337" max="15337" width="35" style="548" customWidth="1"/>
    <col min="15338" max="15338" width="2.42578125" style="548" customWidth="1"/>
    <col min="15339" max="15339" width="2.85546875" style="548" customWidth="1"/>
    <col min="15340" max="15340" width="21.28515625" style="548" customWidth="1"/>
    <col min="15341" max="15341" width="34.85546875" style="548" customWidth="1"/>
    <col min="15342" max="15342" width="2.42578125" style="548" customWidth="1"/>
    <col min="15343" max="15343" width="2.85546875" style="548" customWidth="1"/>
    <col min="15344" max="15344" width="21.28515625" style="548" customWidth="1"/>
    <col min="15345" max="15345" width="34.85546875" style="548" customWidth="1"/>
    <col min="15346" max="15346" width="2.42578125" style="548" customWidth="1"/>
    <col min="15347" max="15347" width="2.85546875" style="548" customWidth="1"/>
    <col min="15348" max="15348" width="21.28515625" style="548" customWidth="1"/>
    <col min="15349" max="15349" width="34.85546875" style="548" customWidth="1"/>
    <col min="15350" max="15350" width="2.42578125" style="548" customWidth="1"/>
    <col min="15351" max="15351" width="2.85546875" style="548" customWidth="1"/>
    <col min="15352" max="15352" width="21.28515625" style="548" customWidth="1"/>
    <col min="15353" max="15353" width="34.85546875" style="548" customWidth="1"/>
    <col min="15354" max="15354" width="2.42578125" style="548" customWidth="1"/>
    <col min="15355" max="15355" width="2.85546875" style="548" customWidth="1"/>
    <col min="15356" max="15356" width="21.28515625" style="548" customWidth="1"/>
    <col min="15357" max="15357" width="34.85546875" style="548" customWidth="1"/>
    <col min="15358" max="15358" width="2.42578125" style="548" customWidth="1"/>
    <col min="15359" max="15359" width="2.85546875" style="548" customWidth="1"/>
    <col min="15360" max="15360" width="21.28515625" style="548" customWidth="1"/>
    <col min="15361" max="15361" width="34.85546875" style="548" customWidth="1"/>
    <col min="15362" max="15362" width="2.42578125" style="548" customWidth="1"/>
    <col min="15363" max="15363" width="2.85546875" style="548" customWidth="1"/>
    <col min="15364" max="15364" width="21.28515625" style="548" customWidth="1"/>
    <col min="15365" max="15365" width="34.7109375" style="548" customWidth="1"/>
    <col min="15366" max="15366" width="2.42578125" style="548" customWidth="1"/>
    <col min="15367" max="15367" width="2.85546875" style="548" customWidth="1"/>
    <col min="15368" max="15368" width="13.42578125" style="548" customWidth="1"/>
    <col min="15369" max="15369" width="42.85546875" style="548" customWidth="1"/>
    <col min="15370" max="15585" width="9.140625" style="548"/>
    <col min="15586" max="15586" width="2.42578125" style="548" customWidth="1"/>
    <col min="15587" max="15587" width="2.85546875" style="548" customWidth="1"/>
    <col min="15588" max="15588" width="21.28515625" style="548" customWidth="1"/>
    <col min="15589" max="15589" width="34.85546875" style="548" customWidth="1"/>
    <col min="15590" max="15590" width="2.42578125" style="548" customWidth="1"/>
    <col min="15591" max="15591" width="3" style="548" customWidth="1"/>
    <col min="15592" max="15592" width="21.28515625" style="548" customWidth="1"/>
    <col min="15593" max="15593" width="35" style="548" customWidth="1"/>
    <col min="15594" max="15594" width="2.42578125" style="548" customWidth="1"/>
    <col min="15595" max="15595" width="2.85546875" style="548" customWidth="1"/>
    <col min="15596" max="15596" width="21.28515625" style="548" customWidth="1"/>
    <col min="15597" max="15597" width="34.85546875" style="548" customWidth="1"/>
    <col min="15598" max="15598" width="2.42578125" style="548" customWidth="1"/>
    <col min="15599" max="15599" width="2.85546875" style="548" customWidth="1"/>
    <col min="15600" max="15600" width="21.28515625" style="548" customWidth="1"/>
    <col min="15601" max="15601" width="34.85546875" style="548" customWidth="1"/>
    <col min="15602" max="15602" width="2.42578125" style="548" customWidth="1"/>
    <col min="15603" max="15603" width="2.85546875" style="548" customWidth="1"/>
    <col min="15604" max="15604" width="21.28515625" style="548" customWidth="1"/>
    <col min="15605" max="15605" width="34.85546875" style="548" customWidth="1"/>
    <col min="15606" max="15606" width="2.42578125" style="548" customWidth="1"/>
    <col min="15607" max="15607" width="2.85546875" style="548" customWidth="1"/>
    <col min="15608" max="15608" width="21.28515625" style="548" customWidth="1"/>
    <col min="15609" max="15609" width="34.85546875" style="548" customWidth="1"/>
    <col min="15610" max="15610" width="2.42578125" style="548" customWidth="1"/>
    <col min="15611" max="15611" width="2.85546875" style="548" customWidth="1"/>
    <col min="15612" max="15612" width="21.28515625" style="548" customWidth="1"/>
    <col min="15613" max="15613" width="34.85546875" style="548" customWidth="1"/>
    <col min="15614" max="15614" width="2.42578125" style="548" customWidth="1"/>
    <col min="15615" max="15615" width="2.85546875" style="548" customWidth="1"/>
    <col min="15616" max="15616" width="21.28515625" style="548" customWidth="1"/>
    <col min="15617" max="15617" width="34.85546875" style="548" customWidth="1"/>
    <col min="15618" max="15618" width="2.42578125" style="548" customWidth="1"/>
    <col min="15619" max="15619" width="2.85546875" style="548" customWidth="1"/>
    <col min="15620" max="15620" width="21.28515625" style="548" customWidth="1"/>
    <col min="15621" max="15621" width="34.7109375" style="548" customWidth="1"/>
    <col min="15622" max="15622" width="2.42578125" style="548" customWidth="1"/>
    <col min="15623" max="15623" width="2.85546875" style="548" customWidth="1"/>
    <col min="15624" max="15624" width="13.42578125" style="548" customWidth="1"/>
    <col min="15625" max="15625" width="42.85546875" style="548" customWidth="1"/>
    <col min="15626" max="15841" width="9.140625" style="548"/>
    <col min="15842" max="15842" width="2.42578125" style="548" customWidth="1"/>
    <col min="15843" max="15843" width="2.85546875" style="548" customWidth="1"/>
    <col min="15844" max="15844" width="21.28515625" style="548" customWidth="1"/>
    <col min="15845" max="15845" width="34.85546875" style="548" customWidth="1"/>
    <col min="15846" max="15846" width="2.42578125" style="548" customWidth="1"/>
    <col min="15847" max="15847" width="3" style="548" customWidth="1"/>
    <col min="15848" max="15848" width="21.28515625" style="548" customWidth="1"/>
    <col min="15849" max="15849" width="35" style="548" customWidth="1"/>
    <col min="15850" max="15850" width="2.42578125" style="548" customWidth="1"/>
    <col min="15851" max="15851" width="2.85546875" style="548" customWidth="1"/>
    <col min="15852" max="15852" width="21.28515625" style="548" customWidth="1"/>
    <col min="15853" max="15853" width="34.85546875" style="548" customWidth="1"/>
    <col min="15854" max="15854" width="2.42578125" style="548" customWidth="1"/>
    <col min="15855" max="15855" width="2.85546875" style="548" customWidth="1"/>
    <col min="15856" max="15856" width="21.28515625" style="548" customWidth="1"/>
    <col min="15857" max="15857" width="34.85546875" style="548" customWidth="1"/>
    <col min="15858" max="15858" width="2.42578125" style="548" customWidth="1"/>
    <col min="15859" max="15859" width="2.85546875" style="548" customWidth="1"/>
    <col min="15860" max="15860" width="21.28515625" style="548" customWidth="1"/>
    <col min="15861" max="15861" width="34.85546875" style="548" customWidth="1"/>
    <col min="15862" max="15862" width="2.42578125" style="548" customWidth="1"/>
    <col min="15863" max="15863" width="2.85546875" style="548" customWidth="1"/>
    <col min="15864" max="15864" width="21.28515625" style="548" customWidth="1"/>
    <col min="15865" max="15865" width="34.85546875" style="548" customWidth="1"/>
    <col min="15866" max="15866" width="2.42578125" style="548" customWidth="1"/>
    <col min="15867" max="15867" width="2.85546875" style="548" customWidth="1"/>
    <col min="15868" max="15868" width="21.28515625" style="548" customWidth="1"/>
    <col min="15869" max="15869" width="34.85546875" style="548" customWidth="1"/>
    <col min="15870" max="15870" width="2.42578125" style="548" customWidth="1"/>
    <col min="15871" max="15871" width="2.85546875" style="548" customWidth="1"/>
    <col min="15872" max="15872" width="21.28515625" style="548" customWidth="1"/>
    <col min="15873" max="15873" width="34.85546875" style="548" customWidth="1"/>
    <col min="15874" max="15874" width="2.42578125" style="548" customWidth="1"/>
    <col min="15875" max="15875" width="2.85546875" style="548" customWidth="1"/>
    <col min="15876" max="15876" width="21.28515625" style="548" customWidth="1"/>
    <col min="15877" max="15877" width="34.7109375" style="548" customWidth="1"/>
    <col min="15878" max="15878" width="2.42578125" style="548" customWidth="1"/>
    <col min="15879" max="15879" width="2.85546875" style="548" customWidth="1"/>
    <col min="15880" max="15880" width="13.42578125" style="548" customWidth="1"/>
    <col min="15881" max="15881" width="42.85546875" style="548" customWidth="1"/>
    <col min="15882" max="16097" width="9.140625" style="548"/>
    <col min="16098" max="16098" width="2.42578125" style="548" customWidth="1"/>
    <col min="16099" max="16099" width="2.85546875" style="548" customWidth="1"/>
    <col min="16100" max="16100" width="21.28515625" style="548" customWidth="1"/>
    <col min="16101" max="16101" width="34.85546875" style="548" customWidth="1"/>
    <col min="16102" max="16102" width="2.42578125" style="548" customWidth="1"/>
    <col min="16103" max="16103" width="3" style="548" customWidth="1"/>
    <col min="16104" max="16104" width="21.28515625" style="548" customWidth="1"/>
    <col min="16105" max="16105" width="35" style="548" customWidth="1"/>
    <col min="16106" max="16106" width="2.42578125" style="548" customWidth="1"/>
    <col min="16107" max="16107" width="2.85546875" style="548" customWidth="1"/>
    <col min="16108" max="16108" width="21.28515625" style="548" customWidth="1"/>
    <col min="16109" max="16109" width="34.85546875" style="548" customWidth="1"/>
    <col min="16110" max="16110" width="2.42578125" style="548" customWidth="1"/>
    <col min="16111" max="16111" width="2.85546875" style="548" customWidth="1"/>
    <col min="16112" max="16112" width="21.28515625" style="548" customWidth="1"/>
    <col min="16113" max="16113" width="34.85546875" style="548" customWidth="1"/>
    <col min="16114" max="16114" width="2.42578125" style="548" customWidth="1"/>
    <col min="16115" max="16115" width="2.85546875" style="548" customWidth="1"/>
    <col min="16116" max="16116" width="21.28515625" style="548" customWidth="1"/>
    <col min="16117" max="16117" width="34.85546875" style="548" customWidth="1"/>
    <col min="16118" max="16118" width="2.42578125" style="548" customWidth="1"/>
    <col min="16119" max="16119" width="2.85546875" style="548" customWidth="1"/>
    <col min="16120" max="16120" width="21.28515625" style="548" customWidth="1"/>
    <col min="16121" max="16121" width="34.85546875" style="548" customWidth="1"/>
    <col min="16122" max="16122" width="2.42578125" style="548" customWidth="1"/>
    <col min="16123" max="16123" width="2.85546875" style="548" customWidth="1"/>
    <col min="16124" max="16124" width="21.28515625" style="548" customWidth="1"/>
    <col min="16125" max="16125" width="34.85546875" style="548" customWidth="1"/>
    <col min="16126" max="16126" width="2.42578125" style="548" customWidth="1"/>
    <col min="16127" max="16127" width="2.85546875" style="548" customWidth="1"/>
    <col min="16128" max="16128" width="21.28515625" style="548" customWidth="1"/>
    <col min="16129" max="16129" width="34.85546875" style="548" customWidth="1"/>
    <col min="16130" max="16130" width="2.42578125" style="548" customWidth="1"/>
    <col min="16131" max="16131" width="2.85546875" style="548" customWidth="1"/>
    <col min="16132" max="16132" width="21.28515625" style="548" customWidth="1"/>
    <col min="16133" max="16133" width="34.7109375" style="548" customWidth="1"/>
    <col min="16134" max="16134" width="2.42578125" style="548" customWidth="1"/>
    <col min="16135" max="16135" width="2.85546875" style="548" customWidth="1"/>
    <col min="16136" max="16136" width="13.42578125" style="548" customWidth="1"/>
    <col min="16137" max="16137" width="42.85546875" style="548" customWidth="1"/>
    <col min="16138" max="16384" width="9.140625" style="548"/>
  </cols>
  <sheetData>
    <row r="1" spans="1:27" ht="53.25" x14ac:dyDescent="1">
      <c r="A1" s="548" t="s">
        <v>17</v>
      </c>
      <c r="B1" s="549" t="s">
        <v>306</v>
      </c>
      <c r="C1" s="548"/>
      <c r="D1" s="548"/>
      <c r="E1" s="548"/>
      <c r="M1" s="551"/>
    </row>
    <row r="2" spans="1:27" ht="45" x14ac:dyDescent="0.6">
      <c r="B2" s="552"/>
      <c r="D2" s="548"/>
      <c r="E2" s="548"/>
      <c r="M2" s="610"/>
      <c r="N2" s="610"/>
      <c r="O2" s="610"/>
      <c r="P2" s="610"/>
      <c r="Q2" s="610"/>
      <c r="R2" s="610"/>
      <c r="S2" s="610"/>
      <c r="T2" s="610"/>
      <c r="U2" s="610"/>
      <c r="V2" s="610"/>
      <c r="W2" s="610"/>
      <c r="X2" s="610"/>
      <c r="Y2" s="610"/>
      <c r="Z2" s="610"/>
      <c r="AA2" s="610"/>
    </row>
    <row r="3" spans="1:27" ht="45" x14ac:dyDescent="0.6">
      <c r="B3" s="552"/>
      <c r="D3" s="548"/>
      <c r="E3" s="548"/>
      <c r="M3" s="610"/>
      <c r="N3" s="610"/>
      <c r="O3" s="610"/>
      <c r="P3" s="610"/>
      <c r="Q3" s="610"/>
      <c r="R3" s="610"/>
      <c r="S3" s="610"/>
      <c r="T3" s="610"/>
      <c r="U3" s="610"/>
      <c r="V3" s="610"/>
      <c r="W3" s="610"/>
      <c r="X3" s="610"/>
      <c r="Y3" s="610"/>
      <c r="Z3" s="610"/>
      <c r="AA3" s="610"/>
    </row>
    <row r="4" spans="1:27" ht="45" x14ac:dyDescent="0.6">
      <c r="B4" s="552"/>
      <c r="D4" s="548"/>
      <c r="E4" s="548"/>
      <c r="M4" s="610"/>
      <c r="N4" s="610"/>
      <c r="O4" s="610"/>
      <c r="P4" s="610"/>
      <c r="Q4" s="610"/>
      <c r="R4" s="610"/>
      <c r="S4" s="610"/>
      <c r="T4" s="610"/>
      <c r="U4" s="610"/>
      <c r="V4" s="610"/>
      <c r="W4" s="610"/>
      <c r="X4" s="610"/>
      <c r="Y4" s="610"/>
      <c r="Z4" s="610"/>
      <c r="AA4" s="610"/>
    </row>
    <row r="5" spans="1:27" ht="45" x14ac:dyDescent="0.6">
      <c r="B5" s="552"/>
      <c r="D5" s="548"/>
      <c r="E5" s="548"/>
      <c r="M5" s="610"/>
      <c r="N5" s="610"/>
      <c r="O5" s="610"/>
      <c r="P5" s="610"/>
      <c r="Q5" s="610"/>
      <c r="R5" s="610"/>
      <c r="S5" s="610"/>
      <c r="T5" s="610"/>
      <c r="U5" s="610"/>
      <c r="V5" s="610"/>
      <c r="W5" s="610"/>
      <c r="X5" s="610"/>
      <c r="Y5" s="610"/>
      <c r="Z5" s="610"/>
      <c r="AA5" s="610"/>
    </row>
    <row r="6" spans="1:27" ht="19.5" customHeight="1" x14ac:dyDescent="0.2">
      <c r="B6" s="553"/>
    </row>
    <row r="7" spans="1:27" ht="46.15" customHeight="1" x14ac:dyDescent="0.2">
      <c r="E7" s="593"/>
      <c r="F7" s="611" t="s">
        <v>215</v>
      </c>
      <c r="G7" s="611"/>
      <c r="H7" s="611"/>
      <c r="I7" s="611"/>
      <c r="J7" s="611"/>
      <c r="K7" s="611"/>
      <c r="L7" s="611"/>
      <c r="M7" s="612"/>
    </row>
    <row r="8" spans="1:27" ht="30.6" customHeight="1" x14ac:dyDescent="0.2">
      <c r="E8" s="594"/>
      <c r="F8" s="555"/>
      <c r="G8" s="555"/>
      <c r="H8" s="555"/>
      <c r="I8" s="555"/>
      <c r="J8" s="555"/>
      <c r="K8" s="555"/>
      <c r="L8" s="555"/>
      <c r="M8" s="556"/>
    </row>
    <row r="9" spans="1:27" ht="30.6" customHeight="1" x14ac:dyDescent="0.2">
      <c r="E9" s="594"/>
      <c r="F9" s="613" t="s">
        <v>65</v>
      </c>
      <c r="G9" s="613"/>
      <c r="H9" s="613"/>
      <c r="I9" s="613"/>
      <c r="J9" s="613"/>
      <c r="K9" s="613"/>
      <c r="L9" s="613"/>
      <c r="M9" s="614"/>
    </row>
    <row r="10" spans="1:27" ht="23.45" customHeight="1" x14ac:dyDescent="0.2">
      <c r="E10" s="594"/>
      <c r="F10" s="586"/>
      <c r="G10" s="557"/>
      <c r="H10" s="579"/>
      <c r="I10" s="579"/>
      <c r="J10" s="579"/>
      <c r="K10" s="579"/>
      <c r="L10" s="579"/>
      <c r="M10" s="580"/>
    </row>
    <row r="11" spans="1:27" ht="29.45" customHeight="1" x14ac:dyDescent="0.2">
      <c r="E11" s="594"/>
      <c r="F11" s="613" t="s">
        <v>226</v>
      </c>
      <c r="G11" s="613"/>
      <c r="H11" s="613"/>
      <c r="I11" s="613"/>
      <c r="J11" s="613"/>
      <c r="K11" s="613"/>
      <c r="L11" s="613"/>
      <c r="M11" s="614"/>
    </row>
    <row r="12" spans="1:27" ht="29.45" customHeight="1" x14ac:dyDescent="0.2">
      <c r="E12" s="594"/>
      <c r="F12" s="608" t="s">
        <v>293</v>
      </c>
      <c r="G12" s="608"/>
      <c r="H12" s="608"/>
      <c r="I12" s="608"/>
      <c r="J12" s="608"/>
      <c r="K12" s="608"/>
      <c r="L12" s="608"/>
      <c r="M12" s="578"/>
    </row>
    <row r="13" spans="1:27" ht="29.45" customHeight="1" x14ac:dyDescent="0.2">
      <c r="E13" s="594"/>
      <c r="F13" s="608" t="s">
        <v>292</v>
      </c>
      <c r="G13" s="608"/>
      <c r="H13" s="608"/>
      <c r="I13" s="608"/>
      <c r="J13" s="608"/>
      <c r="K13" s="608"/>
      <c r="L13" s="608"/>
      <c r="M13" s="578"/>
    </row>
    <row r="14" spans="1:27" ht="30.6" customHeight="1" x14ac:dyDescent="0.2">
      <c r="E14" s="594"/>
      <c r="F14" s="609" t="s">
        <v>227</v>
      </c>
      <c r="G14" s="609"/>
      <c r="H14" s="609"/>
      <c r="I14" s="609"/>
      <c r="J14" s="609"/>
      <c r="K14" s="581"/>
      <c r="L14" s="581"/>
      <c r="M14" s="582"/>
    </row>
    <row r="15" spans="1:27" ht="30.6" customHeight="1" x14ac:dyDescent="0.2">
      <c r="E15" s="594"/>
      <c r="F15" s="609" t="s">
        <v>228</v>
      </c>
      <c r="G15" s="609"/>
      <c r="H15" s="609"/>
      <c r="I15" s="609"/>
      <c r="J15" s="609"/>
      <c r="K15" s="609"/>
      <c r="L15" s="609"/>
      <c r="M15" s="582"/>
    </row>
    <row r="16" spans="1:27" ht="30.6" customHeight="1" x14ac:dyDescent="0.2">
      <c r="E16" s="594"/>
      <c r="F16" s="608" t="s">
        <v>216</v>
      </c>
      <c r="G16" s="608"/>
      <c r="H16" s="608"/>
      <c r="I16" s="608"/>
      <c r="J16" s="608"/>
      <c r="K16" s="608"/>
      <c r="L16" s="608"/>
      <c r="M16" s="578"/>
    </row>
    <row r="17" spans="2:24" ht="30.6" customHeight="1" x14ac:dyDescent="0.2">
      <c r="E17" s="594"/>
      <c r="F17" s="605" t="s">
        <v>217</v>
      </c>
      <c r="G17" s="605"/>
      <c r="H17" s="605"/>
      <c r="I17" s="605"/>
      <c r="J17" s="605"/>
      <c r="K17" s="605"/>
      <c r="L17" s="605"/>
      <c r="M17" s="587"/>
    </row>
    <row r="18" spans="2:24" ht="30.6" customHeight="1" x14ac:dyDescent="0.2">
      <c r="E18" s="594"/>
      <c r="F18" s="605" t="s">
        <v>218</v>
      </c>
      <c r="G18" s="605"/>
      <c r="H18" s="605"/>
      <c r="I18" s="605"/>
      <c r="J18" s="605"/>
      <c r="K18" s="605"/>
      <c r="L18" s="605"/>
      <c r="M18" s="587"/>
    </row>
    <row r="19" spans="2:24" ht="30.6" customHeight="1" x14ac:dyDescent="0.2">
      <c r="E19" s="594"/>
      <c r="F19" s="605" t="s">
        <v>219</v>
      </c>
      <c r="G19" s="605"/>
      <c r="H19" s="605"/>
      <c r="I19" s="605"/>
      <c r="J19" s="605"/>
      <c r="K19" s="605"/>
      <c r="L19" s="605"/>
      <c r="M19" s="587"/>
    </row>
    <row r="20" spans="2:24" ht="30.6" customHeight="1" x14ac:dyDescent="0.2">
      <c r="E20" s="594"/>
      <c r="F20" s="606" t="s">
        <v>220</v>
      </c>
      <c r="G20" s="606"/>
      <c r="H20" s="606"/>
      <c r="I20" s="606"/>
      <c r="J20" s="606"/>
      <c r="K20" s="606"/>
      <c r="L20" s="606"/>
      <c r="M20" s="588"/>
    </row>
    <row r="21" spans="2:24" ht="21" customHeight="1" x14ac:dyDescent="0.2">
      <c r="E21" s="594"/>
      <c r="F21" s="586"/>
      <c r="G21" s="558"/>
      <c r="H21" s="583"/>
      <c r="I21" s="583"/>
      <c r="J21" s="583"/>
      <c r="K21" s="583"/>
      <c r="L21" s="583"/>
      <c r="M21" s="584"/>
    </row>
    <row r="22" spans="2:24" ht="30.6" customHeight="1" x14ac:dyDescent="0.2">
      <c r="E22" s="594"/>
      <c r="F22" s="607" t="s">
        <v>189</v>
      </c>
      <c r="G22" s="607"/>
      <c r="H22" s="607"/>
      <c r="I22" s="607"/>
      <c r="J22" s="607"/>
      <c r="K22" s="607"/>
      <c r="L22" s="607"/>
      <c r="M22" s="589"/>
    </row>
    <row r="23" spans="2:24" ht="30.6" customHeight="1" x14ac:dyDescent="0.2">
      <c r="E23" s="594"/>
      <c r="F23" s="606" t="s">
        <v>221</v>
      </c>
      <c r="G23" s="606"/>
      <c r="H23" s="606"/>
      <c r="I23" s="606"/>
      <c r="J23" s="606"/>
      <c r="K23" s="606"/>
      <c r="L23" s="606"/>
      <c r="M23" s="588"/>
    </row>
    <row r="24" spans="2:24" ht="30.6" customHeight="1" x14ac:dyDescent="0.45">
      <c r="E24" s="594"/>
      <c r="F24" s="616" t="s">
        <v>222</v>
      </c>
      <c r="G24" s="616"/>
      <c r="H24" s="616"/>
      <c r="I24" s="616"/>
      <c r="J24" s="616"/>
      <c r="K24" s="616"/>
      <c r="L24" s="616"/>
      <c r="M24" s="591"/>
    </row>
    <row r="25" spans="2:24" ht="29.45" customHeight="1" x14ac:dyDescent="0.45">
      <c r="E25" s="594"/>
      <c r="F25" s="616" t="s">
        <v>225</v>
      </c>
      <c r="G25" s="616"/>
      <c r="H25" s="616"/>
      <c r="I25" s="616"/>
      <c r="J25" s="616"/>
      <c r="K25" s="616"/>
      <c r="L25" s="616"/>
      <c r="M25" s="591"/>
    </row>
    <row r="26" spans="2:24" ht="30.6" customHeight="1" x14ac:dyDescent="0.45">
      <c r="E26" s="594"/>
      <c r="F26" s="616" t="s">
        <v>223</v>
      </c>
      <c r="G26" s="616"/>
      <c r="H26" s="616"/>
      <c r="I26" s="616"/>
      <c r="J26" s="616"/>
      <c r="K26" s="616"/>
      <c r="L26" s="616"/>
      <c r="M26" s="591"/>
      <c r="X26" s="554"/>
    </row>
    <row r="27" spans="2:24" ht="30.6" customHeight="1" x14ac:dyDescent="0.45">
      <c r="E27" s="594"/>
      <c r="F27" s="616" t="s">
        <v>224</v>
      </c>
      <c r="G27" s="616"/>
      <c r="H27" s="616"/>
      <c r="I27" s="616"/>
      <c r="J27" s="616"/>
      <c r="K27" s="616"/>
      <c r="L27" s="616"/>
      <c r="M27" s="585"/>
      <c r="X27" s="554"/>
    </row>
    <row r="28" spans="2:24" ht="18.600000000000001" customHeight="1" x14ac:dyDescent="0.45">
      <c r="B28" s="548"/>
      <c r="C28" s="548"/>
      <c r="D28" s="548"/>
      <c r="E28" s="595"/>
      <c r="F28" s="586"/>
      <c r="G28" s="559"/>
      <c r="H28" s="590"/>
      <c r="I28" s="590"/>
      <c r="J28" s="590"/>
      <c r="K28" s="590"/>
      <c r="L28" s="590"/>
      <c r="M28" s="591"/>
    </row>
    <row r="29" spans="2:24" ht="29.45" customHeight="1" x14ac:dyDescent="0.2">
      <c r="B29" s="548"/>
      <c r="C29" s="548"/>
      <c r="D29" s="548"/>
      <c r="E29" s="596"/>
      <c r="F29" s="617" t="s">
        <v>334</v>
      </c>
      <c r="G29" s="617"/>
      <c r="H29" s="617"/>
      <c r="I29" s="617"/>
      <c r="J29" s="617"/>
      <c r="K29" s="617"/>
      <c r="L29" s="617"/>
      <c r="M29" s="592"/>
    </row>
    <row r="30" spans="2:24" ht="19.899999999999999" customHeight="1" x14ac:dyDescent="0.25">
      <c r="B30" s="560"/>
      <c r="C30" s="561"/>
      <c r="D30" s="615"/>
      <c r="E30" s="615"/>
      <c r="F30" s="615"/>
      <c r="G30" s="615"/>
      <c r="H30" s="615"/>
      <c r="I30" s="615"/>
      <c r="J30" s="615"/>
    </row>
  </sheetData>
  <sheetProtection algorithmName="SHA-512" hashValue="ehXk3IUIQDDS8cE+mBtVyfTwj6Kj5CRBxpl2fwnuwkx/n4qWNmzmIG4lWyE3plbn+bTDWEK2WU8MYu6TxCsquQ==" saltValue="KS+rVPOPP/yqygW+odYyfg==" spinCount="100000" sheet="1" objects="1" scenarios="1"/>
  <mergeCells count="21">
    <mergeCell ref="D30:J30"/>
    <mergeCell ref="F24:L24"/>
    <mergeCell ref="F25:L25"/>
    <mergeCell ref="F26:L26"/>
    <mergeCell ref="F27:L27"/>
    <mergeCell ref="F29:L29"/>
    <mergeCell ref="M2:AA5"/>
    <mergeCell ref="F7:M7"/>
    <mergeCell ref="F9:M9"/>
    <mergeCell ref="F11:M11"/>
    <mergeCell ref="F12:L12"/>
    <mergeCell ref="F13:L13"/>
    <mergeCell ref="F14:J14"/>
    <mergeCell ref="F15:L15"/>
    <mergeCell ref="F16:L16"/>
    <mergeCell ref="F17:L17"/>
    <mergeCell ref="F18:L18"/>
    <mergeCell ref="F19:L19"/>
    <mergeCell ref="F20:L20"/>
    <mergeCell ref="F22:L22"/>
    <mergeCell ref="F23:L23"/>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FFCC"/>
  </sheetPr>
  <dimension ref="A1:Z133"/>
  <sheetViews>
    <sheetView showGridLines="0" zoomScale="60" zoomScaleNormal="60" zoomScaleSheetLayoutView="20" workbookViewId="0"/>
  </sheetViews>
  <sheetFormatPr defaultColWidth="9.140625" defaultRowHeight="21" x14ac:dyDescent="0.35"/>
  <cols>
    <col min="1" max="1" width="9.140625" style="163"/>
    <col min="2" max="2" width="9.28515625" style="61" customWidth="1"/>
    <col min="3" max="3" width="66.5703125" style="61" customWidth="1"/>
    <col min="4" max="4" width="46.140625" style="61" customWidth="1"/>
    <col min="5" max="5" width="45.42578125" style="61" customWidth="1"/>
    <col min="6" max="6" width="23" style="61" customWidth="1"/>
    <col min="7" max="7" width="26.7109375" style="61" customWidth="1"/>
    <col min="8" max="8" width="34" style="61" customWidth="1"/>
    <col min="9" max="9" width="36.28515625" style="61" customWidth="1"/>
    <col min="10" max="10" width="18.28515625" style="61" customWidth="1"/>
    <col min="11" max="11" width="36.7109375" style="61" customWidth="1"/>
    <col min="12" max="12" width="13.7109375" style="61" customWidth="1"/>
    <col min="13" max="13" width="9.140625" style="61"/>
    <col min="14" max="15" width="20.7109375" style="61" customWidth="1"/>
    <col min="16" max="19" width="28.28515625" style="487" customWidth="1"/>
    <col min="20" max="23" width="20.7109375" style="61" customWidth="1"/>
    <col min="24" max="25" width="9.140625" style="61"/>
    <col min="26" max="26" width="23" style="61" customWidth="1"/>
    <col min="27" max="16384" width="9.140625" style="61"/>
  </cols>
  <sheetData>
    <row r="1" spans="1:25" ht="47.25" customHeight="1" x14ac:dyDescent="0.3">
      <c r="A1" s="26"/>
      <c r="B1" s="641" t="s">
        <v>108</v>
      </c>
      <c r="C1" s="641"/>
      <c r="D1" s="641"/>
      <c r="E1" s="641"/>
      <c r="F1" s="641"/>
      <c r="G1" s="641"/>
      <c r="H1" s="641"/>
      <c r="I1" s="641"/>
      <c r="M1" s="58"/>
      <c r="N1" s="58"/>
      <c r="O1" s="59"/>
      <c r="P1" s="484"/>
      <c r="Q1" s="485"/>
      <c r="R1" s="485"/>
      <c r="S1" s="486"/>
      <c r="T1" s="60"/>
      <c r="U1" s="60"/>
      <c r="V1" s="57"/>
      <c r="W1" s="58"/>
      <c r="X1" s="58"/>
      <c r="Y1" s="58"/>
    </row>
    <row r="2" spans="1:25" ht="30" customHeight="1" x14ac:dyDescent="0.35">
      <c r="A2" s="26"/>
      <c r="B2" s="6"/>
      <c r="C2" s="26"/>
      <c r="D2" s="26"/>
      <c r="E2" s="26"/>
      <c r="F2" s="26"/>
      <c r="G2" s="7"/>
      <c r="H2" s="642" t="s">
        <v>230</v>
      </c>
      <c r="I2" s="642"/>
      <c r="J2" s="72"/>
      <c r="P2" s="495"/>
      <c r="Q2" s="495"/>
      <c r="R2" s="495"/>
      <c r="S2" s="495"/>
    </row>
    <row r="3" spans="1:25" ht="30" customHeight="1" x14ac:dyDescent="0.25">
      <c r="B3" s="62"/>
      <c r="C3" s="63" t="s">
        <v>106</v>
      </c>
      <c r="D3" s="643"/>
      <c r="E3" s="644"/>
      <c r="F3" s="64"/>
      <c r="G3" s="404"/>
      <c r="H3" s="405" t="s">
        <v>174</v>
      </c>
      <c r="I3" s="575">
        <v>0</v>
      </c>
      <c r="J3" s="72"/>
      <c r="O3" s="109"/>
      <c r="P3" s="500"/>
      <c r="Q3" s="500"/>
      <c r="R3" s="500"/>
      <c r="S3" s="500"/>
      <c r="T3" s="72"/>
    </row>
    <row r="4" spans="1:25" ht="30" customHeight="1" x14ac:dyDescent="0.25">
      <c r="B4" s="62"/>
      <c r="C4" s="65" t="s">
        <v>123</v>
      </c>
      <c r="D4" s="643"/>
      <c r="E4" s="644"/>
      <c r="F4" s="64"/>
      <c r="G4" s="404"/>
      <c r="H4" s="405" t="s">
        <v>118</v>
      </c>
      <c r="I4" s="576">
        <v>0</v>
      </c>
      <c r="J4" s="72"/>
      <c r="O4" s="109"/>
      <c r="P4" s="501"/>
      <c r="Q4" s="501"/>
      <c r="R4" s="501"/>
      <c r="S4" s="501"/>
      <c r="T4" s="72"/>
    </row>
    <row r="5" spans="1:25" ht="30" customHeight="1" x14ac:dyDescent="0.35">
      <c r="B5" s="62"/>
      <c r="C5" s="66" t="s">
        <v>107</v>
      </c>
      <c r="D5" s="645"/>
      <c r="E5" s="646"/>
      <c r="F5" s="67"/>
      <c r="G5" s="109"/>
      <c r="H5" s="406" t="s">
        <v>168</v>
      </c>
      <c r="I5" s="577">
        <v>0</v>
      </c>
      <c r="J5" s="72"/>
      <c r="O5" s="109"/>
      <c r="P5" s="501"/>
      <c r="Q5" s="501"/>
      <c r="R5" s="501"/>
      <c r="S5" s="501"/>
      <c r="T5" s="72"/>
    </row>
    <row r="6" spans="1:25" ht="30" customHeight="1" x14ac:dyDescent="0.35">
      <c r="B6" s="62"/>
      <c r="C6" s="66" t="s">
        <v>207</v>
      </c>
      <c r="D6" s="645"/>
      <c r="E6" s="646"/>
      <c r="F6" s="67"/>
      <c r="G6" s="58"/>
      <c r="H6" s="74"/>
      <c r="I6" s="74"/>
      <c r="O6" s="109"/>
      <c r="P6" s="497"/>
      <c r="Q6" s="497"/>
      <c r="R6" s="497"/>
      <c r="S6" s="497"/>
      <c r="T6" s="72"/>
    </row>
    <row r="7" spans="1:25" ht="30" customHeight="1" x14ac:dyDescent="0.35">
      <c r="B7" s="62"/>
      <c r="C7" s="66" t="s">
        <v>208</v>
      </c>
      <c r="D7" s="645"/>
      <c r="E7" s="646"/>
      <c r="F7" s="67"/>
      <c r="G7" s="58"/>
      <c r="O7" s="109"/>
      <c r="P7" s="497"/>
      <c r="Q7" s="497"/>
      <c r="R7" s="497"/>
      <c r="S7" s="497"/>
      <c r="T7" s="72"/>
    </row>
    <row r="8" spans="1:25" ht="30" customHeight="1" x14ac:dyDescent="0.35">
      <c r="B8" s="62"/>
      <c r="C8" s="66"/>
      <c r="D8"/>
      <c r="E8"/>
      <c r="F8" s="67"/>
      <c r="G8" s="58"/>
      <c r="O8" s="109"/>
      <c r="P8" s="497"/>
      <c r="Q8" s="497"/>
      <c r="R8" s="497"/>
      <c r="S8" s="497"/>
      <c r="T8" s="72"/>
    </row>
    <row r="9" spans="1:25" ht="30" customHeight="1" x14ac:dyDescent="0.25">
      <c r="B9" s="640" t="s">
        <v>55</v>
      </c>
      <c r="C9" s="640"/>
      <c r="D9" s="640"/>
      <c r="E9" s="640"/>
      <c r="F9" s="640"/>
      <c r="G9" s="640"/>
      <c r="H9" s="640"/>
      <c r="I9" s="640"/>
      <c r="O9" s="109"/>
      <c r="P9" s="497"/>
      <c r="Q9" s="497"/>
      <c r="R9" s="497"/>
      <c r="S9" s="497"/>
      <c r="T9" s="72"/>
    </row>
    <row r="10" spans="1:25" ht="98.45" customHeight="1" x14ac:dyDescent="0.25">
      <c r="B10" s="647" t="s">
        <v>317</v>
      </c>
      <c r="C10" s="648"/>
      <c r="D10" s="648"/>
      <c r="E10" s="648"/>
      <c r="F10" s="648"/>
      <c r="G10" s="649"/>
      <c r="O10" s="109"/>
      <c r="P10" s="497"/>
      <c r="Q10" s="497"/>
      <c r="R10" s="497"/>
      <c r="S10" s="497"/>
      <c r="T10" s="72"/>
    </row>
    <row r="11" spans="1:25" ht="30" customHeight="1" x14ac:dyDescent="0.35">
      <c r="B11" s="122"/>
      <c r="C11" s="68"/>
      <c r="D11" s="525"/>
      <c r="E11" s="68"/>
      <c r="F11" s="68"/>
      <c r="G11" s="58"/>
      <c r="O11" s="109"/>
      <c r="P11" s="497"/>
      <c r="Q11" s="497"/>
      <c r="R11" s="497"/>
      <c r="S11" s="497"/>
      <c r="T11" s="72"/>
    </row>
    <row r="12" spans="1:25" ht="34.15" customHeight="1" x14ac:dyDescent="0.35">
      <c r="B12" s="62"/>
      <c r="C12" s="69" t="s">
        <v>85</v>
      </c>
      <c r="D12" s="408" t="s">
        <v>68</v>
      </c>
      <c r="E12" s="451"/>
      <c r="F12" s="68"/>
      <c r="G12" s="58"/>
      <c r="O12" s="109"/>
      <c r="P12" s="497"/>
      <c r="Q12" s="497"/>
      <c r="R12" s="497"/>
      <c r="S12" s="497"/>
      <c r="T12" s="72"/>
    </row>
    <row r="13" spans="1:25" ht="30" customHeight="1" x14ac:dyDescent="0.25">
      <c r="B13" s="62"/>
      <c r="C13" s="62"/>
      <c r="D13" s="382"/>
      <c r="E13" s="62"/>
      <c r="F13" s="62"/>
      <c r="G13" s="62"/>
      <c r="O13" s="109"/>
      <c r="P13" s="497"/>
      <c r="Q13" s="497"/>
      <c r="R13" s="497"/>
      <c r="S13" s="497"/>
      <c r="T13" s="72"/>
    </row>
    <row r="14" spans="1:25" ht="30" customHeight="1" x14ac:dyDescent="0.35">
      <c r="B14" s="62"/>
      <c r="C14" s="69" t="s">
        <v>325</v>
      </c>
      <c r="D14" s="407"/>
      <c r="F14" s="68"/>
      <c r="G14" s="58"/>
      <c r="O14" s="109"/>
      <c r="P14" s="497"/>
      <c r="Q14" s="497"/>
      <c r="R14" s="497"/>
      <c r="S14" s="497"/>
      <c r="T14" s="72"/>
    </row>
    <row r="15" spans="1:25" ht="30" customHeight="1" x14ac:dyDescent="0.35">
      <c r="B15" s="62"/>
      <c r="C15" s="69" t="s">
        <v>100</v>
      </c>
      <c r="D15" s="407"/>
      <c r="F15" s="68"/>
      <c r="G15" s="58"/>
      <c r="H15" s="61" t="s">
        <v>282</v>
      </c>
      <c r="O15" s="109"/>
      <c r="P15" s="497"/>
      <c r="Q15" s="497"/>
      <c r="R15" s="497"/>
      <c r="S15" s="497"/>
      <c r="T15" s="72"/>
    </row>
    <row r="16" spans="1:25" ht="30" customHeight="1" x14ac:dyDescent="0.35">
      <c r="B16" s="62"/>
      <c r="C16" s="69" t="s">
        <v>330</v>
      </c>
      <c r="D16" s="449">
        <f>D14+D15</f>
        <v>0</v>
      </c>
      <c r="E16" s="458"/>
      <c r="F16" s="474" t="s">
        <v>331</v>
      </c>
      <c r="G16" s="58"/>
      <c r="O16" s="109"/>
      <c r="P16" s="498"/>
      <c r="Q16" s="498"/>
      <c r="R16" s="498"/>
      <c r="S16" s="498"/>
      <c r="T16" s="72"/>
    </row>
    <row r="17" spans="1:26" ht="30" customHeight="1" x14ac:dyDescent="0.35">
      <c r="B17" s="70"/>
      <c r="C17" s="69" t="s">
        <v>232</v>
      </c>
      <c r="D17" s="218">
        <v>0.03</v>
      </c>
      <c r="E17" s="476"/>
      <c r="F17" s="68"/>
      <c r="G17" s="58"/>
    </row>
    <row r="18" spans="1:26" ht="30" customHeight="1" x14ac:dyDescent="0.35">
      <c r="B18" s="472"/>
      <c r="C18" s="475" t="s">
        <v>290</v>
      </c>
      <c r="D18" s="477">
        <f>VLOOKUP(inputFacilityType,Lookup!$C$9:$G$13,5,FALSE)</f>
        <v>0.04</v>
      </c>
      <c r="E18" s="476"/>
      <c r="G18" s="474"/>
      <c r="H18" s="473"/>
      <c r="I18" s="471"/>
      <c r="J18" s="471"/>
      <c r="K18" s="471"/>
      <c r="L18" s="471"/>
      <c r="M18" s="471"/>
      <c r="N18" s="471"/>
      <c r="O18" s="471"/>
      <c r="T18" s="471"/>
      <c r="U18" s="471"/>
      <c r="V18" s="471"/>
      <c r="W18" s="471"/>
      <c r="X18" s="471"/>
      <c r="Y18" s="471"/>
      <c r="Z18" s="471"/>
    </row>
    <row r="19" spans="1:26" ht="30" customHeight="1" x14ac:dyDescent="0.35">
      <c r="B19" s="70"/>
      <c r="C19" s="69" t="s">
        <v>233</v>
      </c>
      <c r="D19" s="219">
        <v>2.5</v>
      </c>
      <c r="E19" s="459"/>
      <c r="F19" s="68"/>
      <c r="G19" s="58"/>
    </row>
    <row r="20" spans="1:26" s="471" customFormat="1" ht="30" customHeight="1" x14ac:dyDescent="0.35">
      <c r="A20" s="163"/>
      <c r="B20" s="71"/>
      <c r="C20" s="475" t="s">
        <v>319</v>
      </c>
      <c r="D20" s="219">
        <f>VLOOKUP(inputFacilityType,Lookup!$C$9:$F$13,3,FALSE)</f>
        <v>26.195311999999998</v>
      </c>
      <c r="E20" s="459"/>
      <c r="F20" s="474"/>
      <c r="G20" s="473"/>
      <c r="P20" s="487"/>
      <c r="Q20" s="487"/>
      <c r="R20" s="487"/>
      <c r="S20" s="487"/>
    </row>
    <row r="21" spans="1:26" s="471" customFormat="1" ht="30" customHeight="1" x14ac:dyDescent="0.35">
      <c r="A21" s="163"/>
      <c r="B21" s="71"/>
      <c r="C21" s="475" t="s">
        <v>299</v>
      </c>
      <c r="D21" s="219">
        <f>VLOOKUP(inputFacilityType,Lookup!$C$9:$F$13,4,FALSE)</f>
        <v>35.832160000000002</v>
      </c>
      <c r="E21" s="459"/>
      <c r="F21" s="474"/>
      <c r="G21" s="473"/>
      <c r="P21" s="487"/>
      <c r="Q21" s="487"/>
      <c r="R21" s="487"/>
      <c r="S21" s="487"/>
    </row>
    <row r="22" spans="1:26" ht="30" customHeight="1" x14ac:dyDescent="0.35">
      <c r="B22" s="71"/>
      <c r="C22" s="69" t="s">
        <v>300</v>
      </c>
      <c r="D22" s="219">
        <f>(IF('1) Project Information'!$E$18&gt;0,'1) Project Information'!$E$18,'1) Project Information'!$D$18))*(IF('1) Project Information'!$E$21&gt;0,'1) Project Information'!$E$21,'1) Project Information'!$D$21))+(IF('1) Project Information'!$E$20&gt;0,'1) Project Information'!$E$20,'1) Project Information'!$D$20))*(1-(IF('1) Project Information'!$E$18&gt;0,'1) Project Information'!$E$18,'1) Project Information'!$D$18)))</f>
        <v>26.580785919999997</v>
      </c>
      <c r="E22" s="459"/>
      <c r="F22" s="68"/>
      <c r="G22" s="58"/>
    </row>
    <row r="23" spans="1:26" s="471" customFormat="1" ht="30" customHeight="1" x14ac:dyDescent="0.35">
      <c r="A23" s="163"/>
      <c r="B23" s="519"/>
      <c r="C23" s="650" t="s">
        <v>318</v>
      </c>
      <c r="D23" s="651"/>
      <c r="E23" s="651"/>
      <c r="F23" s="520"/>
      <c r="G23" s="521"/>
      <c r="O23" s="109"/>
      <c r="P23" s="498"/>
      <c r="Q23" s="498"/>
      <c r="R23" s="498"/>
      <c r="S23" s="498"/>
      <c r="T23" s="72"/>
    </row>
    <row r="24" spans="1:26" s="471" customFormat="1" ht="54" customHeight="1" x14ac:dyDescent="0.35">
      <c r="A24" s="163"/>
      <c r="B24" s="519"/>
      <c r="C24" s="652"/>
      <c r="D24" s="653"/>
      <c r="E24" s="653"/>
      <c r="F24" s="522"/>
      <c r="G24" s="523"/>
      <c r="O24" s="109"/>
      <c r="P24" s="498"/>
      <c r="Q24" s="498"/>
      <c r="R24" s="498"/>
      <c r="S24" s="498"/>
      <c r="T24" s="72"/>
    </row>
    <row r="25" spans="1:26" ht="30" customHeight="1" x14ac:dyDescent="0.35">
      <c r="B25" s="71"/>
      <c r="C25" s="69" t="s">
        <v>244</v>
      </c>
      <c r="D25" s="446">
        <v>5</v>
      </c>
      <c r="E25" s="456"/>
      <c r="F25" s="68"/>
      <c r="G25" s="58"/>
      <c r="O25" s="109"/>
      <c r="P25" s="498"/>
      <c r="Q25" s="499"/>
      <c r="R25" s="498"/>
      <c r="S25" s="498"/>
      <c r="T25" s="72"/>
    </row>
    <row r="26" spans="1:26" ht="30" customHeight="1" x14ac:dyDescent="0.35">
      <c r="B26" s="71"/>
      <c r="C26" s="69" t="s">
        <v>245</v>
      </c>
      <c r="D26" s="446">
        <v>2</v>
      </c>
      <c r="E26" s="456"/>
      <c r="F26" s="474" t="s">
        <v>328</v>
      </c>
      <c r="G26" s="58"/>
      <c r="O26" s="109"/>
      <c r="P26" s="498"/>
      <c r="Q26" s="498"/>
      <c r="R26" s="498"/>
      <c r="S26" s="498"/>
      <c r="T26" s="72"/>
    </row>
    <row r="27" spans="1:26" ht="30" customHeight="1" x14ac:dyDescent="0.35">
      <c r="B27" s="71"/>
      <c r="C27" s="69" t="s">
        <v>246</v>
      </c>
      <c r="D27" s="446">
        <f>VLOOKUP('Reliability Benefits'!$B$6,LinkCharacteristics!$D$4:$G$8,3,FALSE)</f>
        <v>35</v>
      </c>
      <c r="E27" s="456"/>
      <c r="F27" s="474"/>
      <c r="G27" s="58"/>
      <c r="O27" s="109"/>
      <c r="P27" s="498"/>
      <c r="Q27" s="498"/>
      <c r="R27" s="498"/>
      <c r="S27" s="498"/>
      <c r="T27" s="72"/>
    </row>
    <row r="28" spans="1:26" ht="30" customHeight="1" x14ac:dyDescent="0.35">
      <c r="B28" s="71"/>
      <c r="C28" s="69" t="s">
        <v>283</v>
      </c>
      <c r="D28" s="456"/>
      <c r="E28" s="526"/>
      <c r="F28" s="68"/>
      <c r="G28" s="58"/>
      <c r="O28" s="109"/>
      <c r="P28" s="498"/>
      <c r="Q28" s="498"/>
      <c r="R28" s="498"/>
      <c r="S28" s="498"/>
      <c r="T28" s="72"/>
    </row>
    <row r="29" spans="1:26" ht="30" customHeight="1" x14ac:dyDescent="0.35">
      <c r="B29" s="71"/>
      <c r="C29" s="69" t="s">
        <v>281</v>
      </c>
      <c r="D29" s="450">
        <f>'Reliability Benefits'!$B$12</f>
        <v>6400</v>
      </c>
      <c r="E29" s="456"/>
      <c r="F29" s="474" t="s">
        <v>327</v>
      </c>
      <c r="G29" s="58"/>
      <c r="O29" s="109"/>
      <c r="P29" s="498"/>
      <c r="Q29" s="498"/>
      <c r="R29" s="498"/>
      <c r="S29" s="498"/>
      <c r="T29" s="72"/>
    </row>
    <row r="30" spans="1:26" ht="30" customHeight="1" x14ac:dyDescent="0.35">
      <c r="B30" s="71"/>
      <c r="C30" s="69" t="s">
        <v>250</v>
      </c>
      <c r="D30" s="446">
        <v>2</v>
      </c>
      <c r="E30" s="456"/>
      <c r="F30" s="474" t="s">
        <v>326</v>
      </c>
      <c r="G30" s="58"/>
      <c r="O30" s="109"/>
      <c r="P30" s="498"/>
      <c r="Q30" s="498"/>
      <c r="R30" s="498"/>
      <c r="S30" s="498"/>
      <c r="T30" s="72"/>
    </row>
    <row r="31" spans="1:26" ht="30" customHeight="1" x14ac:dyDescent="0.35">
      <c r="B31" s="71"/>
      <c r="C31" s="475" t="s">
        <v>251</v>
      </c>
      <c r="D31" s="446">
        <v>260</v>
      </c>
      <c r="E31" s="456"/>
      <c r="F31" s="474" t="s">
        <v>329</v>
      </c>
      <c r="G31" s="58"/>
      <c r="P31" s="496"/>
      <c r="Q31" s="496"/>
      <c r="R31" s="496"/>
      <c r="S31" s="496"/>
    </row>
    <row r="32" spans="1:26" ht="30" customHeight="1" x14ac:dyDescent="0.35">
      <c r="B32" s="71"/>
      <c r="C32" s="69" t="s">
        <v>320</v>
      </c>
      <c r="D32" s="446">
        <v>1</v>
      </c>
      <c r="E32" s="456"/>
      <c r="F32" s="68"/>
      <c r="G32" s="58"/>
    </row>
    <row r="33" spans="1:10" ht="30" customHeight="1" x14ac:dyDescent="0.35">
      <c r="B33" s="71"/>
      <c r="C33" s="69" t="s">
        <v>252</v>
      </c>
      <c r="D33" s="446">
        <v>1.2</v>
      </c>
      <c r="E33" s="456"/>
      <c r="F33" s="68"/>
      <c r="G33" s="58"/>
    </row>
    <row r="34" spans="1:10" ht="30" customHeight="1" x14ac:dyDescent="0.35">
      <c r="B34" s="71"/>
      <c r="F34" s="68"/>
      <c r="G34" s="58"/>
    </row>
    <row r="35" spans="1:10" ht="30" customHeight="1" x14ac:dyDescent="0.35">
      <c r="B35" s="71"/>
      <c r="C35" s="68"/>
      <c r="D35" s="68"/>
      <c r="E35" s="68"/>
      <c r="F35" s="68"/>
      <c r="G35" s="58"/>
    </row>
    <row r="36" spans="1:10" ht="30" customHeight="1" x14ac:dyDescent="0.35">
      <c r="B36" s="640" t="s">
        <v>206</v>
      </c>
      <c r="C36" s="640"/>
      <c r="D36" s="640"/>
      <c r="E36" s="640"/>
      <c r="F36" s="640"/>
      <c r="G36" s="640"/>
      <c r="H36" s="640"/>
      <c r="I36" s="640"/>
    </row>
    <row r="37" spans="1:10" ht="61.9" customHeight="1" x14ac:dyDescent="0.35">
      <c r="A37" s="164"/>
      <c r="B37" s="618" t="s">
        <v>231</v>
      </c>
      <c r="C37" s="619"/>
      <c r="D37" s="619"/>
      <c r="E37" s="619"/>
      <c r="F37" s="619"/>
      <c r="G37" s="620"/>
      <c r="H37" s="73"/>
      <c r="I37" s="73"/>
    </row>
    <row r="38" spans="1:10" ht="30" customHeight="1" x14ac:dyDescent="0.35">
      <c r="A38" s="26"/>
      <c r="B38" s="220"/>
      <c r="C38" s="221" t="s">
        <v>60</v>
      </c>
      <c r="D38" s="222"/>
      <c r="E38" s="223"/>
      <c r="F38" s="222"/>
      <c r="G38" s="222"/>
      <c r="H38" s="224"/>
      <c r="I38" s="224"/>
      <c r="J38" s="72"/>
    </row>
    <row r="39" spans="1:10" ht="30" customHeight="1" x14ac:dyDescent="0.35">
      <c r="A39" s="26"/>
      <c r="B39" s="225"/>
      <c r="C39" s="631" t="s">
        <v>61</v>
      </c>
      <c r="D39" s="632"/>
      <c r="E39" s="633"/>
      <c r="F39" s="634" t="s">
        <v>62</v>
      </c>
      <c r="G39" s="635"/>
      <c r="H39" s="226"/>
      <c r="I39" s="227"/>
      <c r="J39" s="72"/>
    </row>
    <row r="40" spans="1:10" ht="30" customHeight="1" x14ac:dyDescent="0.35">
      <c r="A40" s="26"/>
      <c r="B40" s="629" t="s">
        <v>27</v>
      </c>
      <c r="C40" s="638" t="s">
        <v>235</v>
      </c>
      <c r="D40" s="636" t="s">
        <v>213</v>
      </c>
      <c r="E40" s="636" t="s">
        <v>48</v>
      </c>
      <c r="F40" s="636" t="s">
        <v>284</v>
      </c>
      <c r="G40" s="636" t="s">
        <v>234</v>
      </c>
      <c r="H40" s="627" t="s">
        <v>63</v>
      </c>
      <c r="I40" s="627" t="s">
        <v>28</v>
      </c>
      <c r="J40" s="72"/>
    </row>
    <row r="41" spans="1:10" ht="36.75" customHeight="1" x14ac:dyDescent="0.35">
      <c r="A41" s="26"/>
      <c r="B41" s="630"/>
      <c r="C41" s="639"/>
      <c r="D41" s="637"/>
      <c r="E41" s="637"/>
      <c r="F41" s="637"/>
      <c r="G41" s="637"/>
      <c r="H41" s="628"/>
      <c r="I41" s="628"/>
      <c r="J41" s="72"/>
    </row>
    <row r="42" spans="1:10" ht="22.15" customHeight="1" x14ac:dyDescent="0.35">
      <c r="A42" s="26"/>
      <c r="B42" s="621" t="s">
        <v>53</v>
      </c>
      <c r="C42" s="622"/>
      <c r="D42" s="622"/>
      <c r="E42" s="622"/>
      <c r="F42" s="622"/>
      <c r="G42" s="622"/>
      <c r="H42" s="622"/>
      <c r="I42" s="623"/>
      <c r="J42" s="72"/>
    </row>
    <row r="43" spans="1:10" ht="22.15" customHeight="1" x14ac:dyDescent="0.35">
      <c r="A43" s="26"/>
      <c r="B43" s="204">
        <v>1</v>
      </c>
      <c r="C43" s="409"/>
      <c r="D43" s="409"/>
      <c r="E43" s="409"/>
      <c r="F43" s="206" t="str">
        <f>IF(SUM(C43:E43,H43:H43)=0,"&lt;-- Must enter a cost --&gt;","")</f>
        <v>&lt;-- Must enter a cost --&gt;</v>
      </c>
      <c r="G43" s="207"/>
      <c r="H43" s="410"/>
      <c r="I43" s="228">
        <f>SUM(C43:H43)</f>
        <v>0</v>
      </c>
      <c r="J43" s="72"/>
    </row>
    <row r="44" spans="1:10" ht="22.15" customHeight="1" x14ac:dyDescent="0.35">
      <c r="A44" s="26"/>
      <c r="B44" s="204">
        <v>2</v>
      </c>
      <c r="C44" s="409"/>
      <c r="D44" s="409"/>
      <c r="E44" s="409"/>
      <c r="F44" s="206" t="s">
        <v>122</v>
      </c>
      <c r="G44" s="207"/>
      <c r="H44" s="410"/>
      <c r="I44" s="228">
        <f t="shared" ref="I44:I50" si="0">(1/(1+(IF($E$17&gt;0,$E$17,$D$17)))^B44)*SUM(C44:H44)</f>
        <v>0</v>
      </c>
      <c r="J44" s="72"/>
    </row>
    <row r="45" spans="1:10" ht="22.15" customHeight="1" x14ac:dyDescent="0.35">
      <c r="A45" s="26"/>
      <c r="B45" s="204">
        <v>3</v>
      </c>
      <c r="C45" s="409"/>
      <c r="D45" s="409"/>
      <c r="E45" s="409"/>
      <c r="F45" s="206" t="s">
        <v>122</v>
      </c>
      <c r="G45" s="207"/>
      <c r="H45" s="410"/>
      <c r="I45" s="228">
        <f t="shared" si="0"/>
        <v>0</v>
      </c>
      <c r="J45" s="72"/>
    </row>
    <row r="46" spans="1:10" ht="22.15" customHeight="1" x14ac:dyDescent="0.35">
      <c r="A46" s="26"/>
      <c r="B46" s="204">
        <v>4</v>
      </c>
      <c r="C46" s="409"/>
      <c r="D46" s="409"/>
      <c r="E46" s="409"/>
      <c r="F46" s="206" t="s">
        <v>122</v>
      </c>
      <c r="G46" s="207"/>
      <c r="H46" s="410"/>
      <c r="I46" s="228">
        <f t="shared" si="0"/>
        <v>0</v>
      </c>
      <c r="J46" s="72"/>
    </row>
    <row r="47" spans="1:10" ht="22.15" customHeight="1" x14ac:dyDescent="0.35">
      <c r="A47" s="26"/>
      <c r="B47" s="204">
        <v>5</v>
      </c>
      <c r="C47" s="409"/>
      <c r="D47" s="409"/>
      <c r="E47" s="409"/>
      <c r="F47" s="206" t="s">
        <v>122</v>
      </c>
      <c r="G47" s="207"/>
      <c r="H47" s="410"/>
      <c r="I47" s="228">
        <f t="shared" si="0"/>
        <v>0</v>
      </c>
      <c r="J47" s="72"/>
    </row>
    <row r="48" spans="1:10" ht="22.15" customHeight="1" x14ac:dyDescent="0.35">
      <c r="A48" s="26"/>
      <c r="B48" s="204">
        <v>6</v>
      </c>
      <c r="C48" s="409"/>
      <c r="D48" s="409"/>
      <c r="E48" s="409"/>
      <c r="F48" s="206" t="s">
        <v>122</v>
      </c>
      <c r="G48" s="207"/>
      <c r="H48" s="410"/>
      <c r="I48" s="228">
        <f t="shared" si="0"/>
        <v>0</v>
      </c>
      <c r="J48" s="72"/>
    </row>
    <row r="49" spans="1:11" ht="22.15" customHeight="1" x14ac:dyDescent="0.35">
      <c r="A49" s="26"/>
      <c r="B49" s="204">
        <v>7</v>
      </c>
      <c r="C49" s="409"/>
      <c r="D49" s="409"/>
      <c r="E49" s="409"/>
      <c r="F49" s="206" t="s">
        <v>122</v>
      </c>
      <c r="G49" s="207"/>
      <c r="H49" s="410"/>
      <c r="I49" s="228">
        <f t="shared" si="0"/>
        <v>0</v>
      </c>
      <c r="J49" s="72"/>
    </row>
    <row r="50" spans="1:11" ht="22.15" customHeight="1" x14ac:dyDescent="0.35">
      <c r="A50" s="26"/>
      <c r="B50" s="204">
        <v>8</v>
      </c>
      <c r="C50" s="409"/>
      <c r="D50" s="409"/>
      <c r="E50" s="409"/>
      <c r="F50" s="206" t="s">
        <v>122</v>
      </c>
      <c r="G50" s="207"/>
      <c r="H50" s="411"/>
      <c r="I50" s="228">
        <f t="shared" si="0"/>
        <v>0</v>
      </c>
      <c r="J50" s="72"/>
    </row>
    <row r="51" spans="1:11" ht="22.15" customHeight="1" x14ac:dyDescent="0.35">
      <c r="A51" s="26"/>
      <c r="B51" s="624" t="s">
        <v>236</v>
      </c>
      <c r="C51" s="625"/>
      <c r="D51" s="625"/>
      <c r="E51" s="625"/>
      <c r="F51" s="625"/>
      <c r="G51" s="625"/>
      <c r="H51" s="625"/>
      <c r="I51" s="626"/>
      <c r="J51" s="72"/>
    </row>
    <row r="52" spans="1:11" ht="22.15" customHeight="1" x14ac:dyDescent="0.35">
      <c r="A52" s="26"/>
      <c r="B52" s="205">
        <v>1</v>
      </c>
      <c r="C52" s="208"/>
      <c r="D52" s="208"/>
      <c r="E52" s="208"/>
      <c r="F52" s="409"/>
      <c r="G52" s="409"/>
      <c r="H52" s="410"/>
      <c r="I52" s="229">
        <f t="shared" ref="I52:I83" si="1">IF(B52&lt;=D$14,(1/(1+(IF($E$17&gt;0,$E$17,$D$17)))^(B52+$D$15))*SUM(C52:H52),0)</f>
        <v>0</v>
      </c>
      <c r="J52" s="72"/>
    </row>
    <row r="53" spans="1:11" ht="22.15" customHeight="1" x14ac:dyDescent="0.35">
      <c r="A53" s="26"/>
      <c r="B53" s="205">
        <v>2</v>
      </c>
      <c r="C53" s="208"/>
      <c r="D53" s="208"/>
      <c r="E53" s="208"/>
      <c r="F53" s="409"/>
      <c r="G53" s="409"/>
      <c r="H53" s="410"/>
      <c r="I53" s="229">
        <f t="shared" si="1"/>
        <v>0</v>
      </c>
      <c r="J53" s="72"/>
    </row>
    <row r="54" spans="1:11" ht="22.15" customHeight="1" x14ac:dyDescent="0.35">
      <c r="A54" s="26"/>
      <c r="B54" s="205">
        <v>3</v>
      </c>
      <c r="C54" s="208"/>
      <c r="D54" s="208"/>
      <c r="E54" s="208"/>
      <c r="F54" s="409"/>
      <c r="G54" s="409"/>
      <c r="H54" s="410"/>
      <c r="I54" s="229">
        <f t="shared" si="1"/>
        <v>0</v>
      </c>
      <c r="J54" s="72"/>
    </row>
    <row r="55" spans="1:11" ht="22.15" customHeight="1" x14ac:dyDescent="0.35">
      <c r="A55" s="26"/>
      <c r="B55" s="205">
        <v>4</v>
      </c>
      <c r="C55" s="208"/>
      <c r="D55" s="208"/>
      <c r="E55" s="208"/>
      <c r="F55" s="409"/>
      <c r="G55" s="409"/>
      <c r="H55" s="410"/>
      <c r="I55" s="229">
        <f t="shared" si="1"/>
        <v>0</v>
      </c>
      <c r="J55" s="72"/>
    </row>
    <row r="56" spans="1:11" ht="22.15" customHeight="1" x14ac:dyDescent="0.35">
      <c r="A56" s="26"/>
      <c r="B56" s="205">
        <v>5</v>
      </c>
      <c r="C56" s="208"/>
      <c r="D56" s="208"/>
      <c r="E56" s="208"/>
      <c r="F56" s="409"/>
      <c r="G56" s="409"/>
      <c r="H56" s="410"/>
      <c r="I56" s="229">
        <f t="shared" si="1"/>
        <v>0</v>
      </c>
      <c r="J56" s="72"/>
    </row>
    <row r="57" spans="1:11" ht="23.25" x14ac:dyDescent="0.35">
      <c r="A57" s="26"/>
      <c r="B57" s="205">
        <v>6</v>
      </c>
      <c r="C57" s="208"/>
      <c r="D57" s="208"/>
      <c r="E57" s="208"/>
      <c r="F57" s="409"/>
      <c r="G57" s="409"/>
      <c r="H57" s="410"/>
      <c r="I57" s="229">
        <f t="shared" si="1"/>
        <v>0</v>
      </c>
      <c r="J57" s="72"/>
    </row>
    <row r="58" spans="1:11" ht="23.25" x14ac:dyDescent="0.35">
      <c r="A58" s="26"/>
      <c r="B58" s="205">
        <v>7</v>
      </c>
      <c r="C58" s="208"/>
      <c r="D58" s="208"/>
      <c r="E58" s="208"/>
      <c r="F58" s="409"/>
      <c r="G58" s="409"/>
      <c r="H58" s="410"/>
      <c r="I58" s="229">
        <f t="shared" si="1"/>
        <v>0</v>
      </c>
      <c r="J58" s="72"/>
    </row>
    <row r="59" spans="1:11" ht="23.25" x14ac:dyDescent="0.35">
      <c r="A59" s="26"/>
      <c r="B59" s="205">
        <v>8</v>
      </c>
      <c r="C59" s="208"/>
      <c r="D59" s="208"/>
      <c r="E59" s="208"/>
      <c r="F59" s="409"/>
      <c r="G59" s="409"/>
      <c r="H59" s="410"/>
      <c r="I59" s="229">
        <f t="shared" si="1"/>
        <v>0</v>
      </c>
      <c r="J59" s="72"/>
    </row>
    <row r="60" spans="1:11" ht="23.25" x14ac:dyDescent="0.35">
      <c r="A60" s="26"/>
      <c r="B60" s="205">
        <v>9</v>
      </c>
      <c r="C60" s="208"/>
      <c r="D60" s="208"/>
      <c r="E60" s="208"/>
      <c r="F60" s="409"/>
      <c r="G60" s="409"/>
      <c r="H60" s="410"/>
      <c r="I60" s="229">
        <f t="shared" si="1"/>
        <v>0</v>
      </c>
      <c r="J60" s="72"/>
      <c r="K60" s="460"/>
    </row>
    <row r="61" spans="1:11" ht="23.25" x14ac:dyDescent="0.35">
      <c r="A61" s="26"/>
      <c r="B61" s="205">
        <v>10</v>
      </c>
      <c r="C61" s="208"/>
      <c r="D61" s="208"/>
      <c r="E61" s="208"/>
      <c r="F61" s="409"/>
      <c r="G61" s="409"/>
      <c r="H61" s="410"/>
      <c r="I61" s="229">
        <f t="shared" si="1"/>
        <v>0</v>
      </c>
      <c r="J61" s="72"/>
      <c r="K61" s="460"/>
    </row>
    <row r="62" spans="1:11" ht="23.25" x14ac:dyDescent="0.35">
      <c r="A62" s="26"/>
      <c r="B62" s="205">
        <v>11</v>
      </c>
      <c r="C62" s="208"/>
      <c r="D62" s="208"/>
      <c r="E62" s="208"/>
      <c r="F62" s="409"/>
      <c r="G62" s="409"/>
      <c r="H62" s="410"/>
      <c r="I62" s="229">
        <f t="shared" si="1"/>
        <v>0</v>
      </c>
      <c r="J62" s="72"/>
      <c r="K62" s="470"/>
    </row>
    <row r="63" spans="1:11" ht="23.25" x14ac:dyDescent="0.35">
      <c r="A63" s="26"/>
      <c r="B63" s="205">
        <v>12</v>
      </c>
      <c r="C63" s="208"/>
      <c r="D63" s="208"/>
      <c r="E63" s="208"/>
      <c r="F63" s="409"/>
      <c r="G63" s="409"/>
      <c r="H63" s="410"/>
      <c r="I63" s="229">
        <f t="shared" si="1"/>
        <v>0</v>
      </c>
      <c r="J63" s="72"/>
    </row>
    <row r="64" spans="1:11" ht="23.25" x14ac:dyDescent="0.35">
      <c r="A64" s="26"/>
      <c r="B64" s="205">
        <v>13</v>
      </c>
      <c r="C64" s="208"/>
      <c r="D64" s="208"/>
      <c r="E64" s="208"/>
      <c r="F64" s="409"/>
      <c r="G64" s="409"/>
      <c r="H64" s="410"/>
      <c r="I64" s="229">
        <f t="shared" si="1"/>
        <v>0</v>
      </c>
      <c r="J64" s="72"/>
    </row>
    <row r="65" spans="1:10" ht="23.25" x14ac:dyDescent="0.35">
      <c r="A65" s="26"/>
      <c r="B65" s="205">
        <v>14</v>
      </c>
      <c r="C65" s="208"/>
      <c r="D65" s="208"/>
      <c r="E65" s="208"/>
      <c r="F65" s="409"/>
      <c r="G65" s="409"/>
      <c r="H65" s="410"/>
      <c r="I65" s="229">
        <f t="shared" si="1"/>
        <v>0</v>
      </c>
      <c r="J65" s="72"/>
    </row>
    <row r="66" spans="1:10" ht="23.25" x14ac:dyDescent="0.35">
      <c r="A66" s="26"/>
      <c r="B66" s="205">
        <v>15</v>
      </c>
      <c r="C66" s="208"/>
      <c r="D66" s="208"/>
      <c r="E66" s="208"/>
      <c r="F66" s="409"/>
      <c r="G66" s="409"/>
      <c r="H66" s="410"/>
      <c r="I66" s="229">
        <f t="shared" si="1"/>
        <v>0</v>
      </c>
      <c r="J66" s="72"/>
    </row>
    <row r="67" spans="1:10" ht="23.25" x14ac:dyDescent="0.35">
      <c r="A67" s="26"/>
      <c r="B67" s="205">
        <v>16</v>
      </c>
      <c r="C67" s="208"/>
      <c r="D67" s="208"/>
      <c r="E67" s="208"/>
      <c r="F67" s="409"/>
      <c r="G67" s="409"/>
      <c r="H67" s="410"/>
      <c r="I67" s="229">
        <f t="shared" si="1"/>
        <v>0</v>
      </c>
      <c r="J67" s="72"/>
    </row>
    <row r="68" spans="1:10" ht="23.25" x14ac:dyDescent="0.35">
      <c r="A68" s="26"/>
      <c r="B68" s="205">
        <v>17</v>
      </c>
      <c r="C68" s="208"/>
      <c r="D68" s="208"/>
      <c r="E68" s="208"/>
      <c r="F68" s="409"/>
      <c r="G68" s="409"/>
      <c r="H68" s="410"/>
      <c r="I68" s="229">
        <f t="shared" si="1"/>
        <v>0</v>
      </c>
      <c r="J68" s="72"/>
    </row>
    <row r="69" spans="1:10" ht="23.25" x14ac:dyDescent="0.35">
      <c r="A69" s="26"/>
      <c r="B69" s="205">
        <v>18</v>
      </c>
      <c r="C69" s="208"/>
      <c r="D69" s="208"/>
      <c r="E69" s="208"/>
      <c r="F69" s="409"/>
      <c r="G69" s="409"/>
      <c r="H69" s="410"/>
      <c r="I69" s="229">
        <f t="shared" si="1"/>
        <v>0</v>
      </c>
      <c r="J69" s="72"/>
    </row>
    <row r="70" spans="1:10" ht="23.25" x14ac:dyDescent="0.35">
      <c r="A70" s="26"/>
      <c r="B70" s="205">
        <v>19</v>
      </c>
      <c r="C70" s="208"/>
      <c r="D70" s="208"/>
      <c r="E70" s="208"/>
      <c r="F70" s="409"/>
      <c r="G70" s="409"/>
      <c r="H70" s="410"/>
      <c r="I70" s="229">
        <f t="shared" si="1"/>
        <v>0</v>
      </c>
      <c r="J70" s="72"/>
    </row>
    <row r="71" spans="1:10" ht="23.25" x14ac:dyDescent="0.35">
      <c r="A71" s="26"/>
      <c r="B71" s="205">
        <v>20</v>
      </c>
      <c r="C71" s="208"/>
      <c r="D71" s="208"/>
      <c r="E71" s="208"/>
      <c r="F71" s="409"/>
      <c r="G71" s="409"/>
      <c r="H71" s="410"/>
      <c r="I71" s="229">
        <f t="shared" si="1"/>
        <v>0</v>
      </c>
      <c r="J71" s="72"/>
    </row>
    <row r="72" spans="1:10" ht="23.25" x14ac:dyDescent="0.35">
      <c r="A72" s="26"/>
      <c r="B72" s="205">
        <v>21</v>
      </c>
      <c r="C72" s="209"/>
      <c r="D72" s="209"/>
      <c r="E72" s="209"/>
      <c r="F72" s="409"/>
      <c r="G72" s="409"/>
      <c r="H72" s="410"/>
      <c r="I72" s="229">
        <f t="shared" si="1"/>
        <v>0</v>
      </c>
      <c r="J72" s="72"/>
    </row>
    <row r="73" spans="1:10" ht="23.25" x14ac:dyDescent="0.35">
      <c r="A73" s="26"/>
      <c r="B73" s="205">
        <v>22</v>
      </c>
      <c r="C73" s="209"/>
      <c r="D73" s="209"/>
      <c r="E73" s="209"/>
      <c r="F73" s="409"/>
      <c r="G73" s="409"/>
      <c r="H73" s="410"/>
      <c r="I73" s="229">
        <f t="shared" si="1"/>
        <v>0</v>
      </c>
      <c r="J73" s="72"/>
    </row>
    <row r="74" spans="1:10" ht="23.25" x14ac:dyDescent="0.35">
      <c r="A74" s="26"/>
      <c r="B74" s="205">
        <v>23</v>
      </c>
      <c r="C74" s="209"/>
      <c r="D74" s="209"/>
      <c r="E74" s="209"/>
      <c r="F74" s="409"/>
      <c r="G74" s="409"/>
      <c r="H74" s="410"/>
      <c r="I74" s="229">
        <f t="shared" si="1"/>
        <v>0</v>
      </c>
      <c r="J74" s="72"/>
    </row>
    <row r="75" spans="1:10" ht="23.25" x14ac:dyDescent="0.35">
      <c r="A75" s="26"/>
      <c r="B75" s="205">
        <v>24</v>
      </c>
      <c r="C75" s="209"/>
      <c r="D75" s="209"/>
      <c r="E75" s="209"/>
      <c r="F75" s="409"/>
      <c r="G75" s="409"/>
      <c r="H75" s="410"/>
      <c r="I75" s="229">
        <f t="shared" si="1"/>
        <v>0</v>
      </c>
      <c r="J75" s="72"/>
    </row>
    <row r="76" spans="1:10" ht="23.25" x14ac:dyDescent="0.35">
      <c r="A76" s="26"/>
      <c r="B76" s="205">
        <v>25</v>
      </c>
      <c r="C76" s="209"/>
      <c r="D76" s="209"/>
      <c r="E76" s="209"/>
      <c r="F76" s="409"/>
      <c r="G76" s="409"/>
      <c r="H76" s="410"/>
      <c r="I76" s="229">
        <f t="shared" si="1"/>
        <v>0</v>
      </c>
      <c r="J76" s="72"/>
    </row>
    <row r="77" spans="1:10" ht="23.25" x14ac:dyDescent="0.35">
      <c r="A77" s="26"/>
      <c r="B77" s="205">
        <v>26</v>
      </c>
      <c r="C77" s="209"/>
      <c r="D77" s="209"/>
      <c r="E77" s="209"/>
      <c r="F77" s="409"/>
      <c r="G77" s="409"/>
      <c r="H77" s="410"/>
      <c r="I77" s="229">
        <f t="shared" si="1"/>
        <v>0</v>
      </c>
      <c r="J77" s="72"/>
    </row>
    <row r="78" spans="1:10" ht="23.25" x14ac:dyDescent="0.35">
      <c r="A78" s="26"/>
      <c r="B78" s="205">
        <v>27</v>
      </c>
      <c r="C78" s="210"/>
      <c r="D78" s="211"/>
      <c r="E78" s="211"/>
      <c r="F78" s="409"/>
      <c r="G78" s="409"/>
      <c r="H78" s="410"/>
      <c r="I78" s="229">
        <f t="shared" si="1"/>
        <v>0</v>
      </c>
      <c r="J78" s="72"/>
    </row>
    <row r="79" spans="1:10" ht="23.25" x14ac:dyDescent="0.35">
      <c r="A79" s="26"/>
      <c r="B79" s="205">
        <v>28</v>
      </c>
      <c r="C79" s="210"/>
      <c r="D79" s="211"/>
      <c r="E79" s="211"/>
      <c r="F79" s="409"/>
      <c r="G79" s="409"/>
      <c r="H79" s="410"/>
      <c r="I79" s="229">
        <f t="shared" si="1"/>
        <v>0</v>
      </c>
      <c r="J79" s="72"/>
    </row>
    <row r="80" spans="1:10" ht="23.25" x14ac:dyDescent="0.35">
      <c r="A80" s="26"/>
      <c r="B80" s="205">
        <v>29</v>
      </c>
      <c r="C80" s="210"/>
      <c r="D80" s="211"/>
      <c r="E80" s="211"/>
      <c r="F80" s="409"/>
      <c r="G80" s="409"/>
      <c r="H80" s="410"/>
      <c r="I80" s="229">
        <f t="shared" si="1"/>
        <v>0</v>
      </c>
      <c r="J80" s="72"/>
    </row>
    <row r="81" spans="1:10" ht="23.25" x14ac:dyDescent="0.35">
      <c r="A81" s="26"/>
      <c r="B81" s="205">
        <v>30</v>
      </c>
      <c r="C81" s="210"/>
      <c r="D81" s="211"/>
      <c r="E81" s="211"/>
      <c r="F81" s="409"/>
      <c r="G81" s="409"/>
      <c r="H81" s="410"/>
      <c r="I81" s="229">
        <f t="shared" si="1"/>
        <v>0</v>
      </c>
      <c r="J81" s="72"/>
    </row>
    <row r="82" spans="1:10" ht="23.25" x14ac:dyDescent="0.35">
      <c r="A82" s="26"/>
      <c r="B82" s="205">
        <v>31</v>
      </c>
      <c r="C82" s="210"/>
      <c r="D82" s="211"/>
      <c r="E82" s="211"/>
      <c r="F82" s="409"/>
      <c r="G82" s="409"/>
      <c r="H82" s="410"/>
      <c r="I82" s="229">
        <f t="shared" si="1"/>
        <v>0</v>
      </c>
      <c r="J82" s="72"/>
    </row>
    <row r="83" spans="1:10" ht="23.25" x14ac:dyDescent="0.35">
      <c r="A83" s="26"/>
      <c r="B83" s="205">
        <v>32</v>
      </c>
      <c r="C83" s="209"/>
      <c r="D83" s="209"/>
      <c r="E83" s="209"/>
      <c r="F83" s="409"/>
      <c r="G83" s="409"/>
      <c r="H83" s="410"/>
      <c r="I83" s="229">
        <f t="shared" si="1"/>
        <v>0</v>
      </c>
      <c r="J83" s="72"/>
    </row>
    <row r="84" spans="1:10" ht="23.25" x14ac:dyDescent="0.35">
      <c r="A84" s="26"/>
      <c r="B84" s="205">
        <v>33</v>
      </c>
      <c r="C84" s="209"/>
      <c r="D84" s="209"/>
      <c r="E84" s="209"/>
      <c r="F84" s="409"/>
      <c r="G84" s="409"/>
      <c r="H84" s="410"/>
      <c r="I84" s="229">
        <f t="shared" ref="I84:I101" si="2">IF(B84&lt;=D$14,(1/(1+(IF($E$17&gt;0,$E$17,$D$17)))^(B84+$D$15))*SUM(C84:H84),0)</f>
        <v>0</v>
      </c>
      <c r="J84" s="72"/>
    </row>
    <row r="85" spans="1:10" ht="23.25" x14ac:dyDescent="0.35">
      <c r="A85" s="26"/>
      <c r="B85" s="205">
        <v>34</v>
      </c>
      <c r="C85" s="209"/>
      <c r="D85" s="209"/>
      <c r="E85" s="209"/>
      <c r="F85" s="409"/>
      <c r="G85" s="409"/>
      <c r="H85" s="410"/>
      <c r="I85" s="229">
        <f t="shared" si="2"/>
        <v>0</v>
      </c>
      <c r="J85" s="72"/>
    </row>
    <row r="86" spans="1:10" ht="23.25" x14ac:dyDescent="0.35">
      <c r="A86" s="26"/>
      <c r="B86" s="205">
        <v>35</v>
      </c>
      <c r="C86" s="209"/>
      <c r="D86" s="209"/>
      <c r="E86" s="209"/>
      <c r="F86" s="409"/>
      <c r="G86" s="409"/>
      <c r="H86" s="410"/>
      <c r="I86" s="229">
        <f t="shared" si="2"/>
        <v>0</v>
      </c>
      <c r="J86" s="72"/>
    </row>
    <row r="87" spans="1:10" ht="23.25" x14ac:dyDescent="0.35">
      <c r="A87" s="26"/>
      <c r="B87" s="205">
        <v>36</v>
      </c>
      <c r="C87" s="209"/>
      <c r="D87" s="209"/>
      <c r="E87" s="209"/>
      <c r="F87" s="409"/>
      <c r="G87" s="409"/>
      <c r="H87" s="410"/>
      <c r="I87" s="229">
        <f t="shared" si="2"/>
        <v>0</v>
      </c>
      <c r="J87" s="72"/>
    </row>
    <row r="88" spans="1:10" ht="23.25" x14ac:dyDescent="0.35">
      <c r="A88" s="26"/>
      <c r="B88" s="205">
        <v>37</v>
      </c>
      <c r="C88" s="209"/>
      <c r="D88" s="209"/>
      <c r="E88" s="209"/>
      <c r="F88" s="409"/>
      <c r="G88" s="409"/>
      <c r="H88" s="410"/>
      <c r="I88" s="229">
        <f t="shared" si="2"/>
        <v>0</v>
      </c>
      <c r="J88" s="72"/>
    </row>
    <row r="89" spans="1:10" ht="23.25" x14ac:dyDescent="0.35">
      <c r="A89" s="26"/>
      <c r="B89" s="205">
        <v>38</v>
      </c>
      <c r="C89" s="209"/>
      <c r="D89" s="209"/>
      <c r="E89" s="209"/>
      <c r="F89" s="409"/>
      <c r="G89" s="409"/>
      <c r="H89" s="410"/>
      <c r="I89" s="229">
        <f t="shared" si="2"/>
        <v>0</v>
      </c>
      <c r="J89" s="72"/>
    </row>
    <row r="90" spans="1:10" ht="23.25" x14ac:dyDescent="0.35">
      <c r="A90" s="26"/>
      <c r="B90" s="205">
        <v>39</v>
      </c>
      <c r="C90" s="209"/>
      <c r="D90" s="209"/>
      <c r="E90" s="209"/>
      <c r="F90" s="409"/>
      <c r="G90" s="409"/>
      <c r="H90" s="410"/>
      <c r="I90" s="229">
        <f t="shared" si="2"/>
        <v>0</v>
      </c>
      <c r="J90" s="72"/>
    </row>
    <row r="91" spans="1:10" ht="23.25" x14ac:dyDescent="0.35">
      <c r="A91" s="26"/>
      <c r="B91" s="205">
        <v>40</v>
      </c>
      <c r="C91" s="209"/>
      <c r="D91" s="209"/>
      <c r="E91" s="209"/>
      <c r="F91" s="409"/>
      <c r="G91" s="409"/>
      <c r="H91" s="410"/>
      <c r="I91" s="229">
        <f t="shared" si="2"/>
        <v>0</v>
      </c>
      <c r="J91" s="72"/>
    </row>
    <row r="92" spans="1:10" ht="23.25" x14ac:dyDescent="0.35">
      <c r="A92" s="26"/>
      <c r="B92" s="205">
        <v>41</v>
      </c>
      <c r="C92" s="209"/>
      <c r="D92" s="209"/>
      <c r="E92" s="209"/>
      <c r="F92" s="409"/>
      <c r="G92" s="409"/>
      <c r="H92" s="410"/>
      <c r="I92" s="229">
        <f t="shared" si="2"/>
        <v>0</v>
      </c>
      <c r="J92" s="72"/>
    </row>
    <row r="93" spans="1:10" ht="23.25" x14ac:dyDescent="0.35">
      <c r="A93" s="26"/>
      <c r="B93" s="205">
        <v>42</v>
      </c>
      <c r="C93" s="209"/>
      <c r="D93" s="209"/>
      <c r="E93" s="209"/>
      <c r="F93" s="409"/>
      <c r="G93" s="409"/>
      <c r="H93" s="410"/>
      <c r="I93" s="229">
        <f t="shared" si="2"/>
        <v>0</v>
      </c>
      <c r="J93" s="72"/>
    </row>
    <row r="94" spans="1:10" ht="23.25" x14ac:dyDescent="0.35">
      <c r="A94" s="26"/>
      <c r="B94" s="205">
        <v>43</v>
      </c>
      <c r="C94" s="209"/>
      <c r="D94" s="209"/>
      <c r="E94" s="209"/>
      <c r="F94" s="409"/>
      <c r="G94" s="409"/>
      <c r="H94" s="410"/>
      <c r="I94" s="229">
        <f t="shared" si="2"/>
        <v>0</v>
      </c>
      <c r="J94" s="72"/>
    </row>
    <row r="95" spans="1:10" ht="23.25" x14ac:dyDescent="0.35">
      <c r="A95" s="26"/>
      <c r="B95" s="205">
        <v>44</v>
      </c>
      <c r="C95" s="209"/>
      <c r="D95" s="209"/>
      <c r="E95" s="209"/>
      <c r="F95" s="409"/>
      <c r="G95" s="409"/>
      <c r="H95" s="410"/>
      <c r="I95" s="229">
        <f t="shared" si="2"/>
        <v>0</v>
      </c>
      <c r="J95" s="72"/>
    </row>
    <row r="96" spans="1:10" ht="23.25" x14ac:dyDescent="0.35">
      <c r="A96" s="26"/>
      <c r="B96" s="205">
        <v>45</v>
      </c>
      <c r="C96" s="209"/>
      <c r="D96" s="209"/>
      <c r="E96" s="209"/>
      <c r="F96" s="409"/>
      <c r="G96" s="409"/>
      <c r="H96" s="410"/>
      <c r="I96" s="229">
        <f t="shared" si="2"/>
        <v>0</v>
      </c>
      <c r="J96" s="72"/>
    </row>
    <row r="97" spans="1:10" ht="23.25" x14ac:dyDescent="0.35">
      <c r="A97" s="26"/>
      <c r="B97" s="205">
        <v>46</v>
      </c>
      <c r="C97" s="209"/>
      <c r="D97" s="209"/>
      <c r="E97" s="209"/>
      <c r="F97" s="409"/>
      <c r="G97" s="409"/>
      <c r="H97" s="410"/>
      <c r="I97" s="229">
        <f t="shared" si="2"/>
        <v>0</v>
      </c>
      <c r="J97" s="72"/>
    </row>
    <row r="98" spans="1:10" ht="23.25" x14ac:dyDescent="0.35">
      <c r="A98" s="26"/>
      <c r="B98" s="205">
        <v>47</v>
      </c>
      <c r="C98" s="209"/>
      <c r="D98" s="209"/>
      <c r="E98" s="209"/>
      <c r="F98" s="409"/>
      <c r="G98" s="409"/>
      <c r="H98" s="410"/>
      <c r="I98" s="229">
        <f t="shared" si="2"/>
        <v>0</v>
      </c>
      <c r="J98" s="72"/>
    </row>
    <row r="99" spans="1:10" ht="23.25" x14ac:dyDescent="0.35">
      <c r="A99" s="26"/>
      <c r="B99" s="205">
        <v>48</v>
      </c>
      <c r="C99" s="209"/>
      <c r="D99" s="209"/>
      <c r="E99" s="209"/>
      <c r="F99" s="409"/>
      <c r="G99" s="409"/>
      <c r="H99" s="410"/>
      <c r="I99" s="229">
        <f t="shared" si="2"/>
        <v>0</v>
      </c>
      <c r="J99" s="72"/>
    </row>
    <row r="100" spans="1:10" ht="23.25" x14ac:dyDescent="0.35">
      <c r="A100" s="26"/>
      <c r="B100" s="205">
        <v>49</v>
      </c>
      <c r="C100" s="209"/>
      <c r="D100" s="209"/>
      <c r="E100" s="209"/>
      <c r="F100" s="409"/>
      <c r="G100" s="409"/>
      <c r="H100" s="410"/>
      <c r="I100" s="229">
        <f t="shared" si="2"/>
        <v>0</v>
      </c>
      <c r="J100" s="72"/>
    </row>
    <row r="101" spans="1:10" ht="23.25" x14ac:dyDescent="0.35">
      <c r="A101" s="26"/>
      <c r="B101" s="205">
        <v>50</v>
      </c>
      <c r="C101" s="209"/>
      <c r="D101" s="209"/>
      <c r="E101" s="209"/>
      <c r="F101" s="409"/>
      <c r="G101" s="409"/>
      <c r="H101" s="410"/>
      <c r="I101" s="229">
        <f t="shared" si="2"/>
        <v>0</v>
      </c>
      <c r="J101" s="72"/>
    </row>
    <row r="102" spans="1:10" ht="23.25" x14ac:dyDescent="0.35">
      <c r="A102" s="26"/>
      <c r="B102" s="203" t="s">
        <v>29</v>
      </c>
      <c r="C102" s="230">
        <f>SUM(C43:C101)</f>
        <v>0</v>
      </c>
      <c r="D102" s="230">
        <f t="shared" ref="D102:I102" si="3">SUM(D43:D101)</f>
        <v>0</v>
      </c>
      <c r="E102" s="230">
        <f t="shared" si="3"/>
        <v>0</v>
      </c>
      <c r="F102" s="230">
        <f t="shared" si="3"/>
        <v>0</v>
      </c>
      <c r="G102" s="230">
        <f t="shared" si="3"/>
        <v>0</v>
      </c>
      <c r="H102" s="230">
        <f t="shared" si="3"/>
        <v>0</v>
      </c>
      <c r="I102" s="230">
        <f t="shared" si="3"/>
        <v>0</v>
      </c>
      <c r="J102" s="72"/>
    </row>
    <row r="103" spans="1:10" ht="30" customHeight="1" x14ac:dyDescent="0.35">
      <c r="A103" s="165"/>
      <c r="B103" s="74"/>
      <c r="C103" s="74"/>
      <c r="D103" s="74"/>
      <c r="E103" s="74"/>
      <c r="F103" s="74"/>
      <c r="G103" s="74"/>
      <c r="H103" s="74"/>
      <c r="I103" s="74"/>
    </row>
    <row r="104" spans="1:10" ht="30" customHeight="1" x14ac:dyDescent="0.35"/>
    <row r="105" spans="1:10" ht="30" customHeight="1" x14ac:dyDescent="0.35"/>
    <row r="106" spans="1:10" ht="30" customHeight="1" x14ac:dyDescent="0.35"/>
    <row r="107" spans="1:10" ht="34.9" customHeight="1" x14ac:dyDescent="0.35"/>
    <row r="108" spans="1:10" ht="34.9" customHeight="1" x14ac:dyDescent="0.35"/>
    <row r="109" spans="1:10" ht="34.9" customHeight="1" x14ac:dyDescent="0.35"/>
    <row r="110" spans="1:10" ht="34.9" customHeight="1" x14ac:dyDescent="0.35"/>
    <row r="111" spans="1:10" ht="30" customHeight="1" x14ac:dyDescent="0.35"/>
    <row r="112" spans="1:10" ht="30" customHeight="1" x14ac:dyDescent="0.35"/>
    <row r="113" ht="30" customHeight="1" x14ac:dyDescent="0.35"/>
    <row r="114" ht="30" customHeight="1" x14ac:dyDescent="0.35"/>
    <row r="115" ht="30" customHeight="1" x14ac:dyDescent="0.35"/>
    <row r="116" ht="30" customHeight="1" x14ac:dyDescent="0.35"/>
    <row r="117" ht="30" customHeight="1" x14ac:dyDescent="0.35"/>
    <row r="118" ht="30" customHeight="1" x14ac:dyDescent="0.35"/>
    <row r="119" ht="30" customHeight="1" x14ac:dyDescent="0.35"/>
    <row r="120" ht="30" customHeight="1" x14ac:dyDescent="0.35"/>
    <row r="121" ht="30" customHeight="1" x14ac:dyDescent="0.35"/>
    <row r="122" ht="30" customHeight="1" x14ac:dyDescent="0.35"/>
    <row r="123" ht="30" customHeight="1" x14ac:dyDescent="0.35"/>
    <row r="124" ht="30" customHeight="1" x14ac:dyDescent="0.35"/>
    <row r="125" ht="30" customHeight="1" x14ac:dyDescent="0.35"/>
    <row r="126" ht="30" customHeight="1" x14ac:dyDescent="0.35"/>
    <row r="127" ht="30" customHeight="1" x14ac:dyDescent="0.35"/>
    <row r="128" ht="30" customHeight="1" x14ac:dyDescent="0.35"/>
    <row r="129" ht="30" customHeight="1" x14ac:dyDescent="0.35"/>
    <row r="130" ht="30" customHeight="1" x14ac:dyDescent="0.35"/>
    <row r="131" ht="30" customHeight="1" x14ac:dyDescent="0.35"/>
    <row r="132" ht="30" customHeight="1" x14ac:dyDescent="0.35"/>
    <row r="133" ht="30" customHeight="1" x14ac:dyDescent="0.35"/>
  </sheetData>
  <sheetProtection algorithmName="SHA-512" hashValue="rKcwplQRetucSazsla23smgDiRcy/7IJ3HpCklFtlRt7F3WO7mqFl54x+al7FXyKqEmwTG+xLq8G156I4voA/w==" saltValue="LAYS3hIoPkTpIIE99yQg/Q==" spinCount="100000" sheet="1" objects="1" scenarios="1"/>
  <mergeCells count="24">
    <mergeCell ref="B9:I9"/>
    <mergeCell ref="B1:I1"/>
    <mergeCell ref="B36:I36"/>
    <mergeCell ref="H2:I2"/>
    <mergeCell ref="D3:E3"/>
    <mergeCell ref="D4:E4"/>
    <mergeCell ref="D5:E5"/>
    <mergeCell ref="D6:E6"/>
    <mergeCell ref="D7:E7"/>
    <mergeCell ref="B10:G10"/>
    <mergeCell ref="C23:E24"/>
    <mergeCell ref="B37:G37"/>
    <mergeCell ref="B42:I42"/>
    <mergeCell ref="B51:I51"/>
    <mergeCell ref="H40:H41"/>
    <mergeCell ref="I40:I41"/>
    <mergeCell ref="B40:B41"/>
    <mergeCell ref="C39:E39"/>
    <mergeCell ref="F39:G39"/>
    <mergeCell ref="F40:F41"/>
    <mergeCell ref="G40:G41"/>
    <mergeCell ref="D40:D41"/>
    <mergeCell ref="E40:E41"/>
    <mergeCell ref="C40:C41"/>
  </mergeCells>
  <dataValidations count="2">
    <dataValidation allowBlank="1" showErrorMessage="1" prompt="Enter number of years of construction before project opens" sqref="D34 C18 D15:D22" xr:uid="{00000000-0002-0000-0200-000000000000}"/>
    <dataValidation type="list" allowBlank="1" showInputMessage="1" showErrorMessage="1" sqref="D12" xr:uid="{00000000-0002-0000-0200-000001000000}">
      <formula1>Highway_Type</formula1>
    </dataValidation>
  </dataValidations>
  <pageMargins left="0.7" right="0.7" top="0.75" bottom="0.75" header="0.3" footer="0.3"/>
  <pageSetup scale="32" fitToHeight="2" orientation="portrait" r:id="rId1"/>
  <rowBreaks count="1" manualBreakCount="1">
    <brk id="35" min="1" max="8" man="1"/>
  </rowBreaks>
  <drawing r:id="rId2"/>
  <legacyDrawing r:id="rId3"/>
  <controls>
    <mc:AlternateContent xmlns:mc="http://schemas.openxmlformats.org/markup-compatibility/2006">
      <mc:Choice Requires="x14">
        <control shapeId="4102" r:id="rId4" name="inputFacilityType">
          <controlPr defaultSize="0" autoLine="0" linkedCell="D12" listFillRange="Highway_Type3" r:id="rId5">
            <anchor moveWithCells="1">
              <from>
                <xdr:col>3</xdr:col>
                <xdr:colOff>0</xdr:colOff>
                <xdr:row>11</xdr:row>
                <xdr:rowOff>19050</xdr:rowOff>
              </from>
              <to>
                <xdr:col>4</xdr:col>
                <xdr:colOff>781050</xdr:colOff>
                <xdr:row>11</xdr:row>
                <xdr:rowOff>371475</xdr:rowOff>
              </to>
            </anchor>
          </controlPr>
        </control>
      </mc:Choice>
      <mc:Fallback>
        <control shapeId="4102" r:id="rId4" name="inputFacilityType"/>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CCFFCC"/>
    <pageSetUpPr fitToPage="1"/>
  </sheetPr>
  <dimension ref="A1:L51"/>
  <sheetViews>
    <sheetView zoomScale="40" zoomScaleNormal="40" workbookViewId="0">
      <selection activeCell="F27" sqref="F27"/>
    </sheetView>
  </sheetViews>
  <sheetFormatPr defaultColWidth="9.140625" defaultRowHeight="15" x14ac:dyDescent="0.25"/>
  <cols>
    <col min="1" max="1" width="9.140625" style="311"/>
    <col min="2" max="2" width="39.140625" style="311" customWidth="1"/>
    <col min="3" max="9" width="28.7109375" style="311" customWidth="1"/>
    <col min="10" max="10" width="36.85546875" style="311" customWidth="1"/>
    <col min="11" max="11" width="28.7109375" style="311" customWidth="1"/>
    <col min="12" max="12" width="15.7109375" style="311" customWidth="1"/>
    <col min="13" max="13" width="72.7109375" style="311" customWidth="1"/>
    <col min="14" max="14" width="15.7109375" style="311" customWidth="1"/>
    <col min="15" max="16384" width="9.140625" style="311"/>
  </cols>
  <sheetData>
    <row r="1" spans="1:12" ht="53.25" x14ac:dyDescent="1">
      <c r="B1" s="412" t="s">
        <v>237</v>
      </c>
    </row>
    <row r="2" spans="1:12" ht="36" x14ac:dyDescent="0.25">
      <c r="B2" s="312" t="s">
        <v>126</v>
      </c>
      <c r="C2" s="313"/>
      <c r="D2" s="313"/>
      <c r="E2" s="313"/>
      <c r="F2" s="313"/>
      <c r="G2" s="313"/>
      <c r="H2" s="313"/>
      <c r="I2" s="313"/>
      <c r="J2" s="313"/>
      <c r="K2" s="313"/>
      <c r="L2" s="313"/>
    </row>
    <row r="3" spans="1:12" ht="36" x14ac:dyDescent="0.25">
      <c r="A3" s="312"/>
      <c r="B3" s="313"/>
      <c r="C3" s="313"/>
      <c r="D3" s="313"/>
      <c r="E3" s="313"/>
      <c r="F3" s="313"/>
      <c r="G3" s="313"/>
      <c r="H3" s="313"/>
      <c r="I3" s="313"/>
      <c r="J3" s="314" t="s">
        <v>119</v>
      </c>
      <c r="L3" s="315"/>
    </row>
    <row r="4" spans="1:12" ht="36" x14ac:dyDescent="0.25">
      <c r="A4" s="312"/>
      <c r="B4" s="312" t="s">
        <v>134</v>
      </c>
      <c r="C4" s="313"/>
      <c r="D4" s="313"/>
      <c r="E4" s="313"/>
      <c r="F4" s="313"/>
      <c r="G4" s="313"/>
      <c r="H4" s="313"/>
      <c r="J4" s="316" t="s">
        <v>174</v>
      </c>
      <c r="K4" s="317">
        <v>0</v>
      </c>
    </row>
    <row r="5" spans="1:12" ht="36" x14ac:dyDescent="0.35">
      <c r="A5" s="312"/>
      <c r="B5" s="312"/>
      <c r="C5" s="313"/>
      <c r="D5" s="313"/>
      <c r="E5" s="313"/>
      <c r="F5" s="313"/>
      <c r="G5" s="313"/>
      <c r="H5" s="313"/>
      <c r="J5" s="316" t="s">
        <v>120</v>
      </c>
      <c r="K5" s="318">
        <v>0</v>
      </c>
    </row>
    <row r="6" spans="1:12" ht="36" x14ac:dyDescent="0.35">
      <c r="A6" s="312"/>
      <c r="B6" s="312" t="s">
        <v>161</v>
      </c>
      <c r="C6" s="313"/>
      <c r="D6" s="313"/>
      <c r="E6" s="313"/>
      <c r="F6" s="313"/>
      <c r="G6" s="313"/>
      <c r="H6" s="313"/>
      <c r="J6" s="319" t="s">
        <v>168</v>
      </c>
      <c r="K6" s="532">
        <f>'2) Project Crash Data'!H33</f>
        <v>0</v>
      </c>
      <c r="L6" s="320"/>
    </row>
    <row r="7" spans="1:12" ht="36" x14ac:dyDescent="0.35">
      <c r="A7" s="312"/>
      <c r="B7" s="312"/>
      <c r="C7" s="313"/>
      <c r="D7" s="313"/>
      <c r="E7" s="313"/>
      <c r="F7" s="313"/>
      <c r="G7" s="313"/>
      <c r="H7" s="313"/>
      <c r="I7" s="313"/>
      <c r="J7" s="319" t="s">
        <v>171</v>
      </c>
      <c r="K7" s="533">
        <f>'2) Project Crash Data'!F39</f>
        <v>0</v>
      </c>
      <c r="L7" s="313"/>
    </row>
    <row r="8" spans="1:12" ht="36" x14ac:dyDescent="0.25">
      <c r="A8" s="312"/>
      <c r="B8" s="312"/>
      <c r="C8" s="313"/>
      <c r="D8" s="313"/>
      <c r="E8" s="313"/>
      <c r="F8" s="313"/>
      <c r="G8" s="313"/>
      <c r="H8" s="313"/>
      <c r="I8" s="313"/>
      <c r="J8" s="313"/>
      <c r="K8" s="313"/>
      <c r="L8" s="321"/>
    </row>
    <row r="9" spans="1:12" ht="35.1" customHeight="1" x14ac:dyDescent="0.25">
      <c r="A9" s="312"/>
      <c r="B9" s="654" t="s">
        <v>164</v>
      </c>
      <c r="C9" s="654"/>
      <c r="D9" s="654"/>
      <c r="E9" s="654"/>
      <c r="F9" s="654"/>
      <c r="G9" s="654"/>
      <c r="H9" s="654"/>
      <c r="I9" s="654"/>
      <c r="J9" s="313"/>
      <c r="L9" s="321"/>
    </row>
    <row r="10" spans="1:12" ht="35.1" customHeight="1" x14ac:dyDescent="0.35">
      <c r="A10" s="312"/>
      <c r="B10" s="322" t="s">
        <v>162</v>
      </c>
      <c r="C10" s="323"/>
      <c r="D10" s="324"/>
      <c r="E10" s="325"/>
      <c r="F10" s="326"/>
      <c r="G10" s="327"/>
      <c r="H10" s="328"/>
      <c r="J10" s="313"/>
      <c r="L10" s="321"/>
    </row>
    <row r="11" spans="1:12" ht="109.9" customHeight="1" x14ac:dyDescent="0.35">
      <c r="A11" s="329"/>
      <c r="B11" s="330" t="s">
        <v>178</v>
      </c>
      <c r="C11" s="331" t="s">
        <v>15</v>
      </c>
      <c r="D11" s="332" t="s">
        <v>157</v>
      </c>
      <c r="E11" s="332" t="s">
        <v>158</v>
      </c>
      <c r="F11" s="333"/>
      <c r="L11" s="321"/>
    </row>
    <row r="12" spans="1:12" ht="35.1" customHeight="1" x14ac:dyDescent="0.35">
      <c r="A12" s="329"/>
      <c r="B12" s="334" t="s">
        <v>13</v>
      </c>
      <c r="C12" s="297"/>
      <c r="D12" s="297"/>
      <c r="E12" s="298"/>
      <c r="F12" s="335"/>
      <c r="L12" s="321"/>
    </row>
    <row r="13" spans="1:12" ht="35.1" customHeight="1" x14ac:dyDescent="0.35">
      <c r="A13" s="329"/>
      <c r="B13" s="336" t="s">
        <v>12</v>
      </c>
      <c r="C13" s="299"/>
      <c r="D13" s="299"/>
      <c r="E13" s="298"/>
      <c r="F13" s="335"/>
      <c r="L13" s="321"/>
    </row>
    <row r="14" spans="1:12" ht="35.1" customHeight="1" x14ac:dyDescent="0.35">
      <c r="A14" s="329"/>
      <c r="B14" s="336" t="s">
        <v>11</v>
      </c>
      <c r="C14" s="299"/>
      <c r="D14" s="299"/>
      <c r="E14" s="298"/>
      <c r="F14" s="335"/>
    </row>
    <row r="15" spans="1:12" ht="35.1" customHeight="1" x14ac:dyDescent="0.35">
      <c r="A15" s="329"/>
      <c r="B15" s="336" t="s">
        <v>10</v>
      </c>
      <c r="C15" s="299"/>
      <c r="D15" s="299"/>
      <c r="E15" s="298"/>
      <c r="F15" s="335"/>
    </row>
    <row r="16" spans="1:12" ht="35.1" customHeight="1" x14ac:dyDescent="0.35">
      <c r="A16" s="329"/>
      <c r="B16" s="337" t="s">
        <v>9</v>
      </c>
      <c r="C16" s="300"/>
      <c r="D16" s="300"/>
      <c r="E16" s="298"/>
      <c r="F16" s="335"/>
    </row>
    <row r="17" spans="1:12" ht="49.15" customHeight="1" x14ac:dyDescent="0.35">
      <c r="A17" s="329"/>
      <c r="B17" s="338" t="s">
        <v>209</v>
      </c>
      <c r="C17" s="339"/>
      <c r="D17" s="480"/>
      <c r="E17" s="481"/>
      <c r="F17" s="335"/>
      <c r="L17" s="320"/>
    </row>
    <row r="18" spans="1:12" ht="35.1" customHeight="1" x14ac:dyDescent="0.35">
      <c r="A18" s="329"/>
      <c r="B18" s="340"/>
      <c r="C18" s="340"/>
      <c r="D18" s="340"/>
      <c r="E18" s="340"/>
      <c r="F18" s="335"/>
      <c r="L18" s="320"/>
    </row>
    <row r="19" spans="1:12" ht="35.1" customHeight="1" x14ac:dyDescent="0.35">
      <c r="A19" s="329"/>
      <c r="F19" s="335"/>
      <c r="L19" s="320"/>
    </row>
    <row r="20" spans="1:12" ht="35.1" customHeight="1" x14ac:dyDescent="0.35">
      <c r="A20" s="329"/>
      <c r="F20" s="335"/>
      <c r="L20" s="320"/>
    </row>
    <row r="21" spans="1:12" ht="42.6" customHeight="1" x14ac:dyDescent="0.35">
      <c r="A21" s="312"/>
      <c r="B21" s="341"/>
      <c r="C21" s="340"/>
      <c r="D21" s="342"/>
      <c r="E21" s="343"/>
      <c r="F21" s="326"/>
      <c r="G21" s="327"/>
      <c r="H21" s="328"/>
      <c r="J21" s="313"/>
      <c r="L21" s="321"/>
    </row>
    <row r="22" spans="1:12" ht="35.1" customHeight="1" x14ac:dyDescent="0.35">
      <c r="A22" s="312"/>
      <c r="B22" s="341"/>
      <c r="C22" s="340"/>
      <c r="D22" s="342"/>
      <c r="E22" s="343"/>
      <c r="F22" s="326"/>
      <c r="G22" s="327"/>
      <c r="H22" s="328"/>
      <c r="J22" s="313"/>
      <c r="L22" s="321"/>
    </row>
    <row r="23" spans="1:12" ht="35.1" customHeight="1" x14ac:dyDescent="0.35">
      <c r="A23" s="312"/>
      <c r="B23" s="341"/>
      <c r="C23" s="340"/>
      <c r="D23" s="342"/>
      <c r="E23" s="343"/>
      <c r="F23" s="326"/>
      <c r="G23" s="327"/>
      <c r="H23" s="328"/>
      <c r="J23" s="313"/>
      <c r="L23" s="321"/>
    </row>
    <row r="24" spans="1:12" ht="35.1" customHeight="1" x14ac:dyDescent="0.25">
      <c r="A24" s="344"/>
      <c r="B24" s="657" t="s">
        <v>131</v>
      </c>
      <c r="C24" s="654"/>
      <c r="D24" s="654"/>
      <c r="E24" s="654"/>
      <c r="F24" s="654"/>
      <c r="G24" s="654"/>
      <c r="H24" s="654"/>
      <c r="I24" s="654"/>
      <c r="J24" s="313"/>
      <c r="K24" s="313"/>
      <c r="L24" s="313"/>
    </row>
    <row r="25" spans="1:12" ht="35.1" customHeight="1" x14ac:dyDescent="0.25">
      <c r="A25" s="344"/>
      <c r="B25" s="658" t="s">
        <v>316</v>
      </c>
      <c r="C25" s="659"/>
      <c r="D25" s="659"/>
      <c r="E25" s="659"/>
      <c r="F25" s="659"/>
      <c r="G25" s="659"/>
      <c r="H25" s="659"/>
      <c r="I25" s="659"/>
      <c r="J25" s="660"/>
      <c r="K25" s="313"/>
      <c r="L25" s="313"/>
    </row>
    <row r="26" spans="1:12" ht="35.1" customHeight="1" x14ac:dyDescent="0.25">
      <c r="A26" s="344"/>
      <c r="B26" s="661"/>
      <c r="C26" s="662"/>
      <c r="D26" s="662"/>
      <c r="E26" s="662"/>
      <c r="F26" s="662"/>
      <c r="G26" s="662"/>
      <c r="H26" s="662"/>
      <c r="I26" s="662"/>
      <c r="J26" s="663"/>
      <c r="K26" s="313"/>
      <c r="L26" s="313"/>
    </row>
    <row r="27" spans="1:12" ht="35.1" customHeight="1" x14ac:dyDescent="0.35">
      <c r="A27" s="313"/>
      <c r="B27" s="345" t="s">
        <v>165</v>
      </c>
      <c r="C27" s="345"/>
      <c r="D27" s="345"/>
      <c r="E27" s="345"/>
      <c r="F27" s="346" t="s">
        <v>86</v>
      </c>
      <c r="G27" s="345"/>
      <c r="H27" s="345"/>
      <c r="I27" s="347"/>
      <c r="J27" s="347"/>
      <c r="K27" s="347"/>
      <c r="L27" s="348"/>
    </row>
    <row r="28" spans="1:12" ht="35.1" customHeight="1" x14ac:dyDescent="0.35">
      <c r="A28" s="313"/>
      <c r="B28" s="345" t="s">
        <v>182</v>
      </c>
      <c r="C28" s="345"/>
      <c r="D28" s="345"/>
      <c r="E28" s="345"/>
      <c r="F28" s="346" t="s">
        <v>87</v>
      </c>
      <c r="G28" s="345"/>
      <c r="H28" s="345"/>
      <c r="I28" s="347"/>
      <c r="J28" s="347"/>
      <c r="K28" s="347"/>
      <c r="L28" s="348"/>
    </row>
    <row r="29" spans="1:12" ht="35.1" customHeight="1" x14ac:dyDescent="0.25">
      <c r="A29" s="313"/>
      <c r="C29" s="315"/>
      <c r="D29" s="315"/>
      <c r="E29" s="315"/>
      <c r="F29" s="315"/>
      <c r="G29" s="315"/>
      <c r="H29" s="315"/>
      <c r="I29" s="315"/>
      <c r="J29" s="315"/>
      <c r="K29" s="315"/>
      <c r="L29" s="315"/>
    </row>
    <row r="30" spans="1:12" ht="35.1" customHeight="1" x14ac:dyDescent="0.35">
      <c r="A30" s="313"/>
      <c r="B30" s="349"/>
      <c r="C30" s="350" t="s">
        <v>56</v>
      </c>
      <c r="D30" s="350" t="s">
        <v>57</v>
      </c>
      <c r="E30" s="350" t="s">
        <v>58</v>
      </c>
      <c r="F30" s="350" t="s">
        <v>59</v>
      </c>
      <c r="G30" s="505" t="s">
        <v>315</v>
      </c>
      <c r="H30" s="351"/>
      <c r="I30" s="349"/>
      <c r="J30" s="349"/>
      <c r="K30" s="349"/>
      <c r="L30" s="315"/>
    </row>
    <row r="31" spans="1:12" ht="112.9" customHeight="1" x14ac:dyDescent="0.35">
      <c r="A31" s="352"/>
      <c r="B31" s="363" t="s">
        <v>178</v>
      </c>
      <c r="C31" s="363" t="s">
        <v>15</v>
      </c>
      <c r="D31" s="303" t="s">
        <v>16</v>
      </c>
      <c r="E31" s="303" t="s">
        <v>20</v>
      </c>
      <c r="F31" s="303" t="s">
        <v>176</v>
      </c>
      <c r="G31" s="303" t="s">
        <v>314</v>
      </c>
      <c r="L31" s="354"/>
    </row>
    <row r="32" spans="1:12" ht="35.1" customHeight="1" x14ac:dyDescent="0.35">
      <c r="A32" s="352"/>
      <c r="B32" s="364" t="s">
        <v>13</v>
      </c>
      <c r="C32" s="506">
        <f>C12</f>
        <v>0</v>
      </c>
      <c r="D32" s="507">
        <f>IF(D$43="Additive Method",D46,IF(D$43="Dominant Effect",C46,IF(D$43="Multiplicative Method",E46,IF(D$43="Dominant Common Residuals Method",F46,D12))))</f>
        <v>0</v>
      </c>
      <c r="E32" s="507">
        <f>C32*D32</f>
        <v>0</v>
      </c>
      <c r="F32" s="508">
        <f>C32-E32</f>
        <v>0</v>
      </c>
      <c r="G32" s="515"/>
      <c r="L32" s="354"/>
    </row>
    <row r="33" spans="1:12" ht="35.1" customHeight="1" x14ac:dyDescent="0.35">
      <c r="A33" s="352"/>
      <c r="B33" s="305" t="s">
        <v>12</v>
      </c>
      <c r="C33" s="509">
        <f>C13</f>
        <v>0</v>
      </c>
      <c r="D33" s="510">
        <f>IF(D$43="Additive Method",D47,IF(D$43="Dominant Effect",C47,IF(D$43="Multiplicative Method",E47,IF(D$43="Dominant Common Residuals Method",F47,D13))))</f>
        <v>0</v>
      </c>
      <c r="E33" s="510">
        <f>C33*D33</f>
        <v>0</v>
      </c>
      <c r="F33" s="511">
        <f>C33-E33</f>
        <v>0</v>
      </c>
      <c r="G33" s="516"/>
      <c r="L33" s="354"/>
    </row>
    <row r="34" spans="1:12" ht="35.1" customHeight="1" x14ac:dyDescent="0.35">
      <c r="A34" s="352"/>
      <c r="B34" s="306" t="s">
        <v>11</v>
      </c>
      <c r="C34" s="509">
        <f>C14</f>
        <v>0</v>
      </c>
      <c r="D34" s="510">
        <f>IF(D$43="Additive Method",D48,IF(D$43="Dominant Effect",C48,IF(D$43="Multiplicative Method",E48,IF(D$43="Dominant Common Residuals Method",F48,D14))))</f>
        <v>0</v>
      </c>
      <c r="E34" s="510">
        <f>C34*D34</f>
        <v>0</v>
      </c>
      <c r="F34" s="511">
        <f>C34-E34</f>
        <v>0</v>
      </c>
      <c r="G34" s="516"/>
      <c r="L34" s="354"/>
    </row>
    <row r="35" spans="1:12" ht="35.1" customHeight="1" x14ac:dyDescent="0.35">
      <c r="A35" s="352"/>
      <c r="B35" s="305" t="s">
        <v>10</v>
      </c>
      <c r="C35" s="509">
        <f>C15</f>
        <v>0</v>
      </c>
      <c r="D35" s="510">
        <f>IF(D$43="Additive Method",D49,IF(D$43="Dominant Effect",C49,IF(D$43="Multiplicative Method",E49,IF(D$43="Dominant Common Residuals Method",F49,D15))))</f>
        <v>0</v>
      </c>
      <c r="E35" s="510">
        <f>C35*D35</f>
        <v>0</v>
      </c>
      <c r="F35" s="511">
        <f>C35-E35</f>
        <v>0</v>
      </c>
      <c r="G35" s="516"/>
      <c r="L35" s="354"/>
    </row>
    <row r="36" spans="1:12" ht="35.1" customHeight="1" x14ac:dyDescent="0.35">
      <c r="A36" s="352"/>
      <c r="B36" s="307" t="s">
        <v>9</v>
      </c>
      <c r="C36" s="512">
        <f>C16</f>
        <v>0</v>
      </c>
      <c r="D36" s="513">
        <f>IF(D$43="Additive Method",D50,IF(D$43="Dominant Effect",C50,IF(D$43="Multiplicative Method",E50,IF(D$43="Dominant Common Residuals Method",F50,D16))))</f>
        <v>0</v>
      </c>
      <c r="E36" s="513">
        <f>C36*D36</f>
        <v>0</v>
      </c>
      <c r="F36" s="514">
        <f>C36-E36</f>
        <v>0</v>
      </c>
      <c r="G36" s="517"/>
      <c r="L36" s="354"/>
    </row>
    <row r="37" spans="1:12" ht="35.1" customHeight="1" x14ac:dyDescent="0.35">
      <c r="A37" s="313"/>
      <c r="B37" s="307" t="s">
        <v>29</v>
      </c>
      <c r="C37" s="512">
        <f>SUM(C32:C36)</f>
        <v>0</v>
      </c>
      <c r="D37" s="531"/>
      <c r="E37" s="513">
        <f>SUM(E32:E36)</f>
        <v>0</v>
      </c>
      <c r="F37" s="513">
        <f>SUM(F32:F36)</f>
        <v>0</v>
      </c>
      <c r="G37" s="518">
        <f>+G32+G33+G34+G35+G36</f>
        <v>0</v>
      </c>
      <c r="H37" s="355"/>
      <c r="I37" s="356"/>
      <c r="J37" s="356"/>
      <c r="K37" s="356"/>
      <c r="L37" s="315"/>
    </row>
    <row r="38" spans="1:12" x14ac:dyDescent="0.25">
      <c r="D38" s="340"/>
      <c r="H38" s="333"/>
    </row>
    <row r="39" spans="1:12" x14ac:dyDescent="0.25">
      <c r="H39" s="333"/>
    </row>
    <row r="40" spans="1:12" ht="36" x14ac:dyDescent="0.25">
      <c r="B40" s="357" t="s">
        <v>167</v>
      </c>
      <c r="C40" s="357"/>
      <c r="D40" s="357"/>
      <c r="E40" s="357"/>
      <c r="F40" s="357"/>
      <c r="G40" s="357"/>
      <c r="H40" s="357"/>
      <c r="I40" s="357"/>
    </row>
    <row r="41" spans="1:12" ht="36" x14ac:dyDescent="0.25">
      <c r="B41" s="322" t="s">
        <v>205</v>
      </c>
      <c r="C41" s="357"/>
      <c r="D41" s="357"/>
      <c r="E41" s="357"/>
      <c r="F41" s="358"/>
      <c r="G41" s="357"/>
      <c r="H41" s="357"/>
      <c r="I41" s="357"/>
    </row>
    <row r="42" spans="1:12" ht="34.9" customHeight="1" x14ac:dyDescent="0.35">
      <c r="B42" s="359" t="s">
        <v>147</v>
      </c>
      <c r="C42" s="359"/>
      <c r="D42" s="301" t="s">
        <v>135</v>
      </c>
      <c r="E42" s="302"/>
      <c r="F42" s="360"/>
    </row>
    <row r="43" spans="1:12" ht="34.9" customHeight="1" x14ac:dyDescent="0.35">
      <c r="B43" s="359" t="s">
        <v>163</v>
      </c>
      <c r="C43" s="359"/>
      <c r="D43" s="655" t="str">
        <f>IF(D$42="Single Countermeasure","Not applicable",F43)</f>
        <v>Not applicable</v>
      </c>
      <c r="E43" s="656"/>
      <c r="F43" s="360" t="s">
        <v>146</v>
      </c>
    </row>
    <row r="44" spans="1:12" ht="34.9" customHeight="1" x14ac:dyDescent="0.25">
      <c r="B44" s="361"/>
      <c r="C44" s="361"/>
      <c r="D44" s="361"/>
      <c r="E44" s="361"/>
      <c r="F44" s="361"/>
    </row>
    <row r="45" spans="1:12" ht="94.9" customHeight="1" x14ac:dyDescent="0.35">
      <c r="A45" s="362"/>
      <c r="B45" s="303" t="s">
        <v>132</v>
      </c>
      <c r="C45" s="353" t="s">
        <v>153</v>
      </c>
      <c r="D45" s="353" t="s">
        <v>154</v>
      </c>
      <c r="E45" s="353" t="s">
        <v>155</v>
      </c>
      <c r="F45" s="353" t="s">
        <v>156</v>
      </c>
      <c r="G45" s="320"/>
    </row>
    <row r="46" spans="1:12" ht="34.9" customHeight="1" x14ac:dyDescent="0.35">
      <c r="A46" s="362"/>
      <c r="B46" s="304" t="s">
        <v>13</v>
      </c>
      <c r="C46" s="308">
        <f>IF(D12&lt;E12,D12,E12)</f>
        <v>0</v>
      </c>
      <c r="D46" s="308">
        <f>1-((1-D12)+(1-E12))</f>
        <v>-1</v>
      </c>
      <c r="E46" s="308">
        <f>D12*E12</f>
        <v>0</v>
      </c>
      <c r="F46" s="308">
        <f>IFERROR((D12*E12)^C46,0)</f>
        <v>0</v>
      </c>
      <c r="G46" s="320"/>
    </row>
    <row r="47" spans="1:12" ht="34.9" customHeight="1" x14ac:dyDescent="0.35">
      <c r="A47" s="362"/>
      <c r="B47" s="305" t="s">
        <v>12</v>
      </c>
      <c r="C47" s="309">
        <f>IF(D13&lt;E13,D13,E13)</f>
        <v>0</v>
      </c>
      <c r="D47" s="309">
        <f>1-((1-D13)+(1-E13))</f>
        <v>-1</v>
      </c>
      <c r="E47" s="309">
        <f>D13*E13</f>
        <v>0</v>
      </c>
      <c r="F47" s="308">
        <f t="shared" ref="F47:F50" si="0">IFERROR((D13*E13)^C47,0)</f>
        <v>0</v>
      </c>
      <c r="G47" s="320"/>
    </row>
    <row r="48" spans="1:12" ht="34.9" customHeight="1" x14ac:dyDescent="0.35">
      <c r="A48" s="362"/>
      <c r="B48" s="306" t="s">
        <v>11</v>
      </c>
      <c r="C48" s="309">
        <f>IF(D14&lt;E14,D14,E14)</f>
        <v>0</v>
      </c>
      <c r="D48" s="309">
        <f>1-((1-D14)+(1-E14))</f>
        <v>-1</v>
      </c>
      <c r="E48" s="309">
        <f>D14*E14</f>
        <v>0</v>
      </c>
      <c r="F48" s="308">
        <f t="shared" si="0"/>
        <v>0</v>
      </c>
      <c r="G48" s="320"/>
    </row>
    <row r="49" spans="1:7" ht="34.9" customHeight="1" x14ac:dyDescent="0.35">
      <c r="A49" s="362"/>
      <c r="B49" s="305" t="s">
        <v>10</v>
      </c>
      <c r="C49" s="309">
        <f>IF(D15&lt;E15,D15,E15)</f>
        <v>0</v>
      </c>
      <c r="D49" s="309">
        <f>1-((1-D15)+(1-E15))</f>
        <v>-1</v>
      </c>
      <c r="E49" s="309">
        <f>D15*E15</f>
        <v>0</v>
      </c>
      <c r="F49" s="308">
        <f t="shared" si="0"/>
        <v>0</v>
      </c>
      <c r="G49" s="320"/>
    </row>
    <row r="50" spans="1:7" ht="34.9" customHeight="1" x14ac:dyDescent="0.35">
      <c r="A50" s="362"/>
      <c r="B50" s="307" t="s">
        <v>9</v>
      </c>
      <c r="C50" s="310">
        <f>IF(D16&lt;E16,D16,E16)</f>
        <v>0</v>
      </c>
      <c r="D50" s="310">
        <f>1-((1-D16)+(1-E16))</f>
        <v>-1</v>
      </c>
      <c r="E50" s="310">
        <f>D16*E16</f>
        <v>0</v>
      </c>
      <c r="F50" s="310">
        <f t="shared" si="0"/>
        <v>0</v>
      </c>
      <c r="G50" s="320"/>
    </row>
    <row r="51" spans="1:7" x14ac:dyDescent="0.25">
      <c r="B51" s="340"/>
      <c r="C51" s="340"/>
      <c r="D51" s="340"/>
      <c r="E51" s="340"/>
      <c r="F51" s="340"/>
    </row>
  </sheetData>
  <sheetProtection algorithmName="SHA-512" hashValue="+83gxdfkO9juiyzmEw0RemIfAUNRLAlTZn3wMWpZwKF3LQnWrx8S4JUayT+C5D9opwb5CGG86jXfDiVZ9KIUZA==" saltValue="qP9Ym7BM1BxG0UchlXgzVg==" spinCount="100000" sheet="1" objects="1" scenarios="1"/>
  <protectedRanges>
    <protectedRange sqref="D43:E43" name="Crash Information User Inputs"/>
  </protectedRanges>
  <mergeCells count="4">
    <mergeCell ref="B9:I9"/>
    <mergeCell ref="D43:E43"/>
    <mergeCell ref="B24:I24"/>
    <mergeCell ref="B25:J26"/>
  </mergeCells>
  <dataValidations count="1">
    <dataValidation allowBlank="1" showErrorMessage="1" prompt="Enter 3-year accident count from TASAS Table B (enter predicted collisions for grade crosssing projects)" sqref="C12:C16" xr:uid="{00000000-0002-0000-0300-000000000000}"/>
  </dataValidations>
  <pageMargins left="0.7" right="0.7" top="0.75" bottom="0.75" header="0.3" footer="0.3"/>
  <pageSetup scale="25" orientation="landscape" r:id="rId1"/>
  <ignoredErrors>
    <ignoredError sqref="D43" unlockedFormula="1"/>
  </ignoredErrors>
  <drawing r:id="rId2"/>
  <legacyDrawing r:id="rId3"/>
  <controls>
    <mc:AlternateContent xmlns:mc="http://schemas.openxmlformats.org/markup-compatibility/2006">
      <mc:Choice Requires="x14">
        <control shapeId="5121" r:id="rId4" name="ComboBox1">
          <controlPr locked="0" defaultSize="0" autoLine="0" linkedCell="D42" listFillRange="Single_Multiple" r:id="rId5">
            <anchor>
              <from>
                <xdr:col>3</xdr:col>
                <xdr:colOff>1028700</xdr:colOff>
                <xdr:row>3</xdr:row>
                <xdr:rowOff>133350</xdr:rowOff>
              </from>
              <to>
                <xdr:col>5</xdr:col>
                <xdr:colOff>971550</xdr:colOff>
                <xdr:row>4</xdr:row>
                <xdr:rowOff>95250</xdr:rowOff>
              </to>
            </anchor>
          </controlPr>
        </control>
      </mc:Choice>
      <mc:Fallback>
        <control shapeId="5121" r:id="rId4" name="ComboBox1"/>
      </mc:Fallback>
    </mc:AlternateContent>
    <mc:AlternateContent xmlns:mc="http://schemas.openxmlformats.org/markup-compatibility/2006">
      <mc:Choice Requires="x14">
        <control shapeId="5122" r:id="rId6" name="ComboBox2">
          <controlPr locked="0" defaultSize="0" autoLine="0" linkedCell="F43" listFillRange="Calc_Method" r:id="rId7">
            <anchor>
              <from>
                <xdr:col>3</xdr:col>
                <xdr:colOff>1000125</xdr:colOff>
                <xdr:row>4</xdr:row>
                <xdr:rowOff>409575</xdr:rowOff>
              </from>
              <to>
                <xdr:col>5</xdr:col>
                <xdr:colOff>933450</xdr:colOff>
                <xdr:row>5</xdr:row>
                <xdr:rowOff>314325</xdr:rowOff>
              </to>
            </anchor>
          </controlPr>
        </control>
      </mc:Choice>
      <mc:Fallback>
        <control shapeId="5122" r:id="rId6" name="ComboBox2"/>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CCFFCC"/>
  </sheetPr>
  <dimension ref="A1:O26"/>
  <sheetViews>
    <sheetView zoomScale="40" zoomScaleNormal="40" workbookViewId="0">
      <selection activeCell="C22" sqref="C22"/>
    </sheetView>
  </sheetViews>
  <sheetFormatPr defaultColWidth="9.140625" defaultRowHeight="15" x14ac:dyDescent="0.25"/>
  <cols>
    <col min="1" max="1" width="9.140625" style="367"/>
    <col min="2" max="2" width="14.85546875" style="367" customWidth="1"/>
    <col min="3" max="3" width="34.7109375" style="367" customWidth="1"/>
    <col min="4" max="4" width="24.28515625" style="367" customWidth="1"/>
    <col min="5" max="5" width="20.42578125" style="367" customWidth="1"/>
    <col min="6" max="10" width="15.7109375" style="367" customWidth="1"/>
    <col min="11" max="16384" width="9.140625" style="367"/>
  </cols>
  <sheetData>
    <row r="1" spans="1:15" ht="53.25" x14ac:dyDescent="1">
      <c r="A1" s="365"/>
      <c r="B1" s="366" t="s">
        <v>103</v>
      </c>
      <c r="C1" s="365"/>
      <c r="D1" s="365"/>
      <c r="E1" s="365"/>
      <c r="F1" s="365"/>
      <c r="G1" s="365"/>
      <c r="H1" s="365"/>
      <c r="I1" s="365"/>
      <c r="J1" s="365"/>
      <c r="K1" s="365"/>
    </row>
    <row r="2" spans="1:15" ht="36" x14ac:dyDescent="0.7">
      <c r="A2" s="365"/>
      <c r="B2" s="368" t="s">
        <v>127</v>
      </c>
      <c r="C2" s="365"/>
      <c r="D2" s="365"/>
      <c r="E2" s="365"/>
      <c r="F2" s="365"/>
      <c r="G2" s="365"/>
      <c r="H2" s="365"/>
      <c r="I2" s="365"/>
      <c r="J2" s="365"/>
      <c r="K2" s="365"/>
    </row>
    <row r="3" spans="1:15" ht="69.599999999999994" customHeight="1" x14ac:dyDescent="0.7">
      <c r="A3" s="365"/>
      <c r="B3" s="666" t="s">
        <v>124</v>
      </c>
      <c r="C3" s="667"/>
      <c r="D3" s="667"/>
      <c r="E3" s="667"/>
      <c r="F3" s="667"/>
      <c r="G3" s="667"/>
      <c r="H3" s="667"/>
      <c r="I3" s="667"/>
      <c r="J3" s="667"/>
      <c r="K3" s="668"/>
    </row>
    <row r="4" spans="1:15" s="167" customFormat="1" ht="30" customHeight="1" x14ac:dyDescent="0.25">
      <c r="A4" s="369"/>
      <c r="B4" s="370"/>
      <c r="C4" s="664"/>
      <c r="D4" s="664"/>
      <c r="E4" s="664"/>
      <c r="F4" s="664"/>
      <c r="G4" s="371"/>
      <c r="H4" s="371"/>
      <c r="I4" s="372"/>
      <c r="J4" s="371"/>
      <c r="K4" s="373"/>
    </row>
    <row r="5" spans="1:15" s="167" customFormat="1" ht="30" customHeight="1" x14ac:dyDescent="0.25">
      <c r="A5" s="374"/>
      <c r="B5" s="375"/>
      <c r="C5" s="387" t="s">
        <v>308</v>
      </c>
      <c r="D5" s="388" t="str">
        <f>'1) Project Information'!D12</f>
        <v>Urban Other</v>
      </c>
      <c r="E5" s="376"/>
      <c r="F5" s="376"/>
      <c r="H5" s="377" t="s">
        <v>119</v>
      </c>
      <c r="I5" s="367"/>
      <c r="K5" s="378"/>
    </row>
    <row r="6" spans="1:15" s="167" customFormat="1" ht="30" customHeight="1" x14ac:dyDescent="0.25">
      <c r="A6" s="374"/>
      <c r="B6" s="375"/>
      <c r="C6" s="389"/>
      <c r="D6" s="389"/>
      <c r="H6" s="379" t="s">
        <v>174</v>
      </c>
      <c r="J6" s="380"/>
      <c r="K6" s="378"/>
    </row>
    <row r="7" spans="1:15" s="167" customFormat="1" ht="30" customHeight="1" x14ac:dyDescent="0.25">
      <c r="A7" s="374"/>
      <c r="B7" s="375"/>
      <c r="C7" s="389"/>
      <c r="D7" s="390" t="s">
        <v>121</v>
      </c>
      <c r="E7" s="381" t="s">
        <v>99</v>
      </c>
      <c r="H7" s="379" t="s">
        <v>120</v>
      </c>
      <c r="J7" s="376"/>
      <c r="K7" s="378"/>
    </row>
    <row r="8" spans="1:15" s="167" customFormat="1" ht="30" customHeight="1" x14ac:dyDescent="0.25">
      <c r="A8" s="374"/>
      <c r="B8" s="375"/>
      <c r="C8" s="387" t="s">
        <v>96</v>
      </c>
      <c r="D8" s="394">
        <f>IF('1) Project Information'!$E$22&gt;0,'1) Project Information'!$E$22,'1) Project Information'!$D$22)</f>
        <v>26.580785919999997</v>
      </c>
      <c r="E8" s="166"/>
      <c r="G8" s="167" t="s">
        <v>17</v>
      </c>
      <c r="H8" s="401"/>
      <c r="I8" s="401"/>
      <c r="J8" s="401"/>
      <c r="K8" s="378"/>
    </row>
    <row r="9" spans="1:15" s="167" customFormat="1" ht="30" customHeight="1" x14ac:dyDescent="0.25">
      <c r="A9" s="374"/>
      <c r="B9" s="375"/>
      <c r="C9" s="389"/>
      <c r="D9" s="389"/>
      <c r="G9" s="399"/>
      <c r="H9" s="665" t="s">
        <v>337</v>
      </c>
      <c r="I9" s="665"/>
      <c r="J9" s="665"/>
      <c r="K9" s="400"/>
    </row>
    <row r="10" spans="1:15" s="167" customFormat="1" ht="30" customHeight="1" x14ac:dyDescent="0.25">
      <c r="A10" s="374"/>
      <c r="B10" s="375"/>
      <c r="C10" s="392" t="s">
        <v>97</v>
      </c>
      <c r="D10" s="392" t="s">
        <v>336</v>
      </c>
      <c r="E10" s="168"/>
      <c r="G10" s="399"/>
      <c r="H10" s="665"/>
      <c r="I10" s="665"/>
      <c r="J10" s="665"/>
      <c r="K10" s="400"/>
      <c r="O10" s="382"/>
    </row>
    <row r="11" spans="1:15" s="167" customFormat="1" ht="30" customHeight="1" x14ac:dyDescent="0.25">
      <c r="A11" s="374"/>
      <c r="B11" s="375"/>
      <c r="C11" s="393" t="s">
        <v>335</v>
      </c>
      <c r="D11" s="394">
        <f>IF(E11&gt;0,E11,IF('1) Project Information'!D12="Urban Interstate/Expressway",Lookup!S11,IF('1) Project Information'!D12="Urban Arterial",Lookup!T11,IF('1) Project Information'!D12="Urban Other",Lookup!U11,IF('1) Project Information'!D12="Rural Interstate/Principal Arterial",Lookup!V11,IF('1) Project Information'!D12="Rural Other",Lookup!W11,Lookup!S15))))))</f>
        <v>207.88</v>
      </c>
      <c r="E11" s="169">
        <v>0</v>
      </c>
      <c r="G11" s="399"/>
      <c r="H11" s="665"/>
      <c r="I11" s="665"/>
      <c r="J11" s="665"/>
      <c r="K11" s="400"/>
    </row>
    <row r="12" spans="1:15" s="167" customFormat="1" ht="30" customHeight="1" x14ac:dyDescent="0.25">
      <c r="A12" s="374"/>
      <c r="B12" s="375"/>
      <c r="C12" s="393" t="s">
        <v>98</v>
      </c>
      <c r="D12" s="394">
        <f>IF(E12&gt;0,E12,IF('1) Project Information'!D12="Urban Interstate/Expressway",Lookup!S17,IF('1) Project Information'!D12="Urban Arterial",Lookup!T17,IF('1) Project Information'!D12="Urban Other",Lookup!U17,IF('1) Project Information'!D12="Rural Interstate/Principal Arterial",Lookup!V17,IF('1) Project Information'!D12="Rural Other",Lookup!W17,Lookup!S21))))))</f>
        <v>15.4</v>
      </c>
      <c r="E12" s="169">
        <v>0</v>
      </c>
      <c r="G12" s="399"/>
      <c r="H12" s="665"/>
      <c r="I12" s="665"/>
      <c r="J12" s="665"/>
      <c r="K12" s="400"/>
    </row>
    <row r="13" spans="1:15" s="167" customFormat="1" ht="30" customHeight="1" x14ac:dyDescent="0.25">
      <c r="A13" s="374"/>
      <c r="B13" s="375"/>
      <c r="C13" s="393" t="s">
        <v>1</v>
      </c>
      <c r="D13" s="394">
        <f>IF(E13&gt;0,E13,IF('1) Project Information'!D12="Urban Interstate/Expressway",Lookup!S23,IF('1) Project Information'!D12="Urban Arterial",Lookup!T23,IF('1) Project Information'!D12="Urban Other",Lookup!U23,IF('1) Project Information'!D12="Rural Interstate/Principal Arterial",Lookup!V23,IF('1) Project Information'!D12="Rural Other",Lookup!W23,Lookup!T27))))))</f>
        <v>10.32</v>
      </c>
      <c r="E13" s="169">
        <v>0</v>
      </c>
      <c r="H13" s="402"/>
      <c r="I13" s="403"/>
      <c r="J13" s="402"/>
      <c r="K13" s="378"/>
    </row>
    <row r="14" spans="1:15" s="167" customFormat="1" ht="30" customHeight="1" x14ac:dyDescent="0.25">
      <c r="A14" s="374"/>
      <c r="B14" s="375"/>
      <c r="C14" s="389"/>
      <c r="D14" s="389"/>
      <c r="K14" s="378"/>
    </row>
    <row r="15" spans="1:15" s="167" customFormat="1" ht="43.9" customHeight="1" x14ac:dyDescent="0.25">
      <c r="A15" s="374"/>
      <c r="B15" s="375"/>
      <c r="C15" s="598" t="s">
        <v>338</v>
      </c>
      <c r="D15" s="392" t="s">
        <v>339</v>
      </c>
      <c r="E15" s="168"/>
      <c r="I15" s="382"/>
      <c r="K15" s="378"/>
    </row>
    <row r="16" spans="1:15" s="167" customFormat="1" ht="30" customHeight="1" x14ac:dyDescent="0.25">
      <c r="A16" s="374"/>
      <c r="B16" s="375"/>
      <c r="C16" s="393" t="s">
        <v>335</v>
      </c>
      <c r="D16" s="395">
        <f>IF(E16&gt;0,E16,IF('1) Project Information'!D12="Urban Interstate/Expressway",Lookup!AC9,IF('1) Project Information'!D12="Urban Arterial",Lookup!AC10,IF('1) Project Information'!D12="Urban Other",Lookup!AC11,IF('1) Project Information'!D12="Rural Interstate/Principal Arterial",Lookup!AC12,IF('1) Project Information'!D12="Rural Other",Lookup!AC13,Lookup!AC14))))))</f>
        <v>39</v>
      </c>
      <c r="E16" s="170">
        <v>0</v>
      </c>
      <c r="I16" s="382"/>
      <c r="K16" s="378"/>
    </row>
    <row r="17" spans="1:11" s="167" customFormat="1" ht="30" customHeight="1" x14ac:dyDescent="0.25">
      <c r="A17" s="374"/>
      <c r="B17" s="375"/>
      <c r="C17" s="393" t="s">
        <v>0</v>
      </c>
      <c r="D17" s="395">
        <f>IF(E17&gt;0,E17,IF('1) Project Information'!D12="Urban Interstate/Expressway",Lookup!AC18,IF('1) Project Information'!D12="Urban Arterial",Lookup!AC19,IF('1) Project Information'!D12="Urban Other",Lookup!AC20,IF('1) Project Information'!D12="Rural Interstate/Principal Arterial",Lookup!AC21,IF('1) Project Information'!D12="Rural Other",Lookup!AC22,Lookup!AC23))))))</f>
        <v>17</v>
      </c>
      <c r="E17" s="170">
        <v>0</v>
      </c>
      <c r="I17" s="382"/>
      <c r="K17" s="378"/>
    </row>
    <row r="18" spans="1:11" s="167" customFormat="1" ht="30" customHeight="1" x14ac:dyDescent="0.25">
      <c r="A18" s="374"/>
      <c r="B18" s="375"/>
      <c r="C18" s="393" t="s">
        <v>1</v>
      </c>
      <c r="D18" s="395">
        <f>IF(E18&gt;0,E18,IF('1) Project Information'!D12="Urban Interstate/Expressway",Lookup!AC27,IF('1) Project Information'!D12="Urban Arterial",Lookup!AC28,IF('1) Project Information'!D12="Urban Other",Lookup!AC29,IF('1) Project Information'!D12="Rural Interstate/Principal Arterial",Lookup!AC30,IF('1) Project Information'!D12="Rural Other",Lookup!AC31,Lookup!AC32))))))</f>
        <v>10</v>
      </c>
      <c r="E18" s="170">
        <v>0</v>
      </c>
      <c r="I18" s="382"/>
      <c r="K18" s="378"/>
    </row>
    <row r="19" spans="1:11" s="167" customFormat="1" ht="30" customHeight="1" x14ac:dyDescent="0.25">
      <c r="A19" s="374"/>
      <c r="B19" s="375"/>
      <c r="C19" s="389"/>
      <c r="D19" s="389"/>
      <c r="K19" s="378"/>
    </row>
    <row r="20" spans="1:11" s="167" customFormat="1" ht="30" customHeight="1" x14ac:dyDescent="0.25">
      <c r="A20" s="374"/>
      <c r="B20" s="375"/>
      <c r="C20" s="396"/>
      <c r="D20" s="397"/>
      <c r="K20" s="378"/>
    </row>
    <row r="21" spans="1:11" s="167" customFormat="1" ht="39" customHeight="1" x14ac:dyDescent="0.25">
      <c r="A21" s="374"/>
      <c r="B21" s="375"/>
      <c r="C21" s="598" t="s">
        <v>343</v>
      </c>
      <c r="D21" s="398" t="s">
        <v>3</v>
      </c>
      <c r="E21" s="398" t="s">
        <v>4</v>
      </c>
      <c r="F21" s="398" t="s">
        <v>84</v>
      </c>
      <c r="G21" s="398" t="s">
        <v>5</v>
      </c>
      <c r="H21" s="398" t="s">
        <v>6</v>
      </c>
      <c r="I21" s="398" t="s">
        <v>7</v>
      </c>
      <c r="J21" s="398" t="s">
        <v>8</v>
      </c>
      <c r="K21" s="378"/>
    </row>
    <row r="22" spans="1:11" s="167" customFormat="1" ht="30" customHeight="1" x14ac:dyDescent="0.25">
      <c r="A22" s="374"/>
      <c r="B22" s="375"/>
      <c r="C22" s="393" t="s">
        <v>335</v>
      </c>
      <c r="D22" s="391">
        <f>IF('1) Project Information'!D12="Urban Interstate/Expressway",Lookup!AH9,IF('1) Project Information'!D12="Urban Arterial",Lookup!AH10,IF('1) Project Information'!D12="Urban Other",Lookup!AH11,IF('1) Project Information'!D12="Rural Interstate/Principal Arterial",Lookup!AH12,IF('1) Project Information'!D12="Rural Other",Lookup!AH13,Lookup!AH14)))))</f>
        <v>16.369288000000001</v>
      </c>
      <c r="E22" s="391">
        <f>IF('1) Project Information'!D12="Urban Interstate/Expressway",Lookup!AI9,IF('1) Project Information'!D12="Urban Arterial",Lookup!AI11,IF('1) Project Information'!D12="Urban Other",Lookup!AI11,IF('1) Project Information'!D12="Rural Interstate/Principal Arterial",Lookup!AI12,IF('1) Project Information'!D12="Rural Other",Lookup!AI13,Lookup!AI14)))))</f>
        <v>0</v>
      </c>
      <c r="F22" s="391">
        <f>IF('1) Project Information'!D$12="Urban Interstate/Expressway",Lookup!AJ9,IF('1) Project Information'!D$12="Urban Arterial",Lookup!AJ10,IF('1) Project Information'!D$12="Urban Other",Lookup!AJ11,IF('1) Project Information'!D$12="Rural Interstate/Principal Arterial",Lookup!AJ12,IF('1) Project Information'!D$12="Rural Other",Lookup!AJ13,Lookup!AJ14)))))</f>
        <v>3.95044</v>
      </c>
      <c r="G22" s="391">
        <f>IF('1) Project Information'!D12="Urban Interstate/Expressway",Lookup!AK9,IF('1) Project Information'!D12="Urban Arterial",Lookup!AK10,IF('1) Project Information'!D12="Urban Other",Lookup!AK11,IF('1) Project Information'!D12="Rural Interstate/Principal Arterial",Lookup!AK12,IF('1) Project Information'!D12="Rural Other",Lookup!AK13,Lookup!AK14)))))</f>
        <v>0</v>
      </c>
      <c r="H22" s="391">
        <f>IF('1) Project Information'!D12="Urban Interstate/Expressway",Lookup!AL9,IF('1) Project Information'!D12="Urban Arterial",Lookup!AL10,IF('1) Project Information'!D12="Urban Other",Lookup!AL11,IF('1) Project Information'!D12="Rural Interstate/Principal Arterial",Lookup!AL12,IF('1) Project Information'!D12="Rural Other",Lookup!AL13,Lookup!AL14)))))</f>
        <v>8.9246559999999988</v>
      </c>
      <c r="I22" s="391">
        <f>IF('1) Project Information'!D12="Urban Interstate/Expressway",Lookup!AM9,IF('1) Project Information'!D12="Urban Arterial",Lookup!AM10,IF('1) Project Information'!D12="Urban Other",Lookup!AM11,IF('1) Project Information'!D12="Rural Interstate/Principal Arterial",Lookup!AM12,IF('1) Project Information'!D12="Rural Other",Lookup!AM13,Lookup!AM14)))))</f>
        <v>1.4132560000000001</v>
      </c>
      <c r="J22" s="391">
        <f>IF('1) Project Information'!D12="Urban Interstate/Expressway",Lookup!AN9,IF('1) Project Information'!D12="Urban Arterial",Lookup!AN10,IF('1) Project Information'!D12="Urban Other",Lookup!AN11,IF('1) Project Information'!D12="Rural Interstate/Principal Arterial",Lookup!AN12,IF('1) Project Information'!D12="Rural Other",Lookup!AN13,Lookup!AN14)))))</f>
        <v>0.26707199999999998</v>
      </c>
      <c r="K22" s="378"/>
    </row>
    <row r="23" spans="1:11" s="167" customFormat="1" ht="30" customHeight="1" x14ac:dyDescent="0.25">
      <c r="A23" s="374"/>
      <c r="B23" s="375"/>
      <c r="C23" s="393" t="s">
        <v>0</v>
      </c>
      <c r="D23" s="391">
        <f>IF('1) Project Information'!D12="Urban Interstate/Expressway",Lookup!AH18,IF('1) Project Information'!D12="Urban Arterial",Lookup!AH19,IF('1) Project Information'!D12="Urban Other",Lookup!AH20,IF('1) Project Information'!D12="Rural Interstate/Principal Arterial",Lookup!AH21,IF('1) Project Information'!D12="Rural Other",Lookup!AH22,Lookup!AH23)))))</f>
        <v>7.1775600000000006</v>
      </c>
      <c r="E23" s="391">
        <f>IF('1) Project Information'!D12="Urban Interstate/Expressway",Lookup!AI18,IF('1) Project Information'!D12="Urban Arterial",Lookup!AI19,IF('1) Project Information'!D12="Urban Other",Lookup!AI20,IF('1) Project Information'!D12="Rural Interstate/Principal Arterial",Lookup!AI21,IF('1) Project Information'!D12="Rural Other",Lookup!AI22,Lookup!AI23)))))</f>
        <v>0</v>
      </c>
      <c r="F23" s="391">
        <f>IF('1) Project Information'!D12="Urban Interstate/Expressway",Lookup!AJ18,IF('1) Project Information'!D12="Urban Arterial",Lookup!AJ19,IF('1) Project Information'!D12="Urban Other",Lookup!AJ20,IF('1) Project Information'!D12="Rural Interstate/Principal Arterial",Lookup!AJ21,IF('1) Project Information'!D12="Rural Other",Lookup!AJ22,Lookup!AJ23)))))</f>
        <v>1.7248400000000002</v>
      </c>
      <c r="G23" s="391">
        <f>IF('1) Project Information'!D12="Urban Interstate/Expressway",Lookup!AK18,IF('1) Project Information'!D12="Urban Arterial",Lookup!AK19,IF('1) Project Information'!D12="Urban Other",Lookup!AK20,IF('1) Project Information'!D12="Rural Interstate/Principal Arterial",Lookup!AK21,IF('1) Project Information'!D12="Rural Other",Lookup!AK22,Lookup!AK23)))))</f>
        <v>0</v>
      </c>
      <c r="H23" s="391">
        <f>IF('1) Project Information'!D12="Urban Interstate/Expressway",Lookup!AL18,IF('1) Project Information'!D12="Urban Arterial",Lookup!AL19,IF('1) Project Information'!D12="Urban Other",Lookup!AL20,IF('1) Project Information'!D12="Rural Interstate/Principal Arterial",Lookup!AL21,IF('1) Project Information'!D12="Rural Other",Lookup!AL22,Lookup!AL23)))))</f>
        <v>3.7612639999999997</v>
      </c>
      <c r="I23" s="391">
        <f>IF('1) Project Information'!D12="Urban Interstate/Expressway",Lookup!AM18,IF('1) Project Information'!D12="Urban Arterial",Lookup!AM19,IF('1) Project Information'!D12="Urban Other",Lookup!AM20,IF('1) Project Information'!D12="Rural Interstate/Principal Arterial",Lookup!AM21,IF('1) Project Information'!D12="Rural Other",Lookup!AM22,Lookup!AM23)))))</f>
        <v>0.62316800000000006</v>
      </c>
      <c r="J23" s="391">
        <f>IF('1) Project Information'!D12="Urban Interstate/Expressway",Lookup!AN18,IF('1) Project Information'!D12="Urban Arterial",Lookup!AN19,IF('1) Project Information'!D12="Urban Other",Lookup!AN20,IF('1) Project Information'!D12="Rural Interstate/Principal Arterial",Lookup!AN21,IF('1) Project Information'!D12="Rural Other",Lookup!AN22,Lookup!AN23)))))</f>
        <v>0.122408</v>
      </c>
      <c r="K23" s="378"/>
    </row>
    <row r="24" spans="1:11" s="167" customFormat="1" ht="30" customHeight="1" x14ac:dyDescent="0.25">
      <c r="A24" s="374"/>
      <c r="B24" s="375"/>
      <c r="C24" s="393" t="s">
        <v>1</v>
      </c>
      <c r="D24" s="391">
        <f>IF('1) Project Information'!D12="Urban Interstate/Expressway",Lookup!AH27,IF('1) Project Information'!D12="Urban Arterial",Lookup!AH28,IF('1) Project Information'!D12="Urban Other",Lookup!AH29,IF('1) Project Information'!D12="Rural Interstate/Principal Arterial",Lookup!AH30,IF('1) Project Information'!D12="Rural Other",Lookup!AH31,Lookup!AH32)))))</f>
        <v>4.328792</v>
      </c>
      <c r="E24" s="391">
        <f>IF('1) Project Information'!D12="Urban Interstate/Expressway",Lookup!AI27,IF('1) Project Information'!D12="Urban Arterial",Lookup!AI28,IF('1) Project Information'!D12="Urban Other",Lookup!AI29,IF('1) Project Information'!D12="Rural Interstate/Principal Arterial",Lookup!AI30,IF('1) Project Information'!D12="Rural Other",Lookup!AI31,Lookup!AI32)))))</f>
        <v>0</v>
      </c>
      <c r="F24" s="391">
        <f>IF('1) Project Information'!D12="Urban Interstate/Expressway",Lookup!AJ27,IF('1) Project Information'!D12="Urban Arterial",Lookup!AJ28,IF('1) Project Information'!D12="Urban Other",Lookup!AJ29,IF('1) Project Information'!D12="Rural Interstate/Principal Arterial",Lookup!AJ30,IF('1) Project Information'!D12="Rural Other",Lookup!AJ31,Lookup!AJ32)))))</f>
        <v>1.0460319999999999</v>
      </c>
      <c r="G24" s="391">
        <f>IF('1) Project Information'!D12="Urban Interstate/Expressway",Lookup!AK27,IF('1) Project Information'!D12="Urban Arterial",Lookup!AK28,IF('1) Project Information'!D12="Urban Other",Lookup!AK29,IF('1) Project Information'!D12="Rural Interstate/Principal Arterial",Lookup!AK30,IF('1) Project Information'!D12="Rural Other",Lookup!AK31,Lookup!AK32)))))</f>
        <v>0</v>
      </c>
      <c r="H24" s="391">
        <f>IF('1) Project Information'!D12="Urban Interstate/Expressway",Lookup!AL27,IF('1) Project Information'!D12="Urban Arterial",Lookup!AL28,IF('1) Project Information'!D12="Urban Other",Lookup!AL29,IF('1) Project Information'!D12="Rural Interstate/Principal Arterial",Lookup!AL30,IF('1) Project Information'!D12="Rural Other",Lookup!AL31,Lookup!AL32)))))</f>
        <v>2.2478560000000001</v>
      </c>
      <c r="I24" s="391">
        <f>IF('1) Project Information'!D12="Urban Interstate/Expressway",Lookup!AM27,IF('1) Project Information'!D12="Urban Arterial",Lookup!AM28,IF('1) Project Information'!D12="Urban Other",Lookup!AM29,IF('1) Project Information'!D12="Rural Interstate/Principal Arterial",Lookup!AM30,IF('1) Project Information'!D12="Rural Other",Lookup!AM31,Lookup!AM32)))))</f>
        <v>0.35609600000000002</v>
      </c>
      <c r="J24" s="391">
        <f>IF('1) Project Information'!D12="Urban Interstate/Expressway",Lookup!AN27,IF('1) Project Information'!D12="Urban Arterial",Lookup!AN28,IF('1) Project Information'!D12="Urban Other",Lookup!AN29,IF('1) Project Information'!D12="Rural Interstate/Principal Arterial",Lookup!AN30,IF('1) Project Information'!D12="Rural Other",Lookup!AN31,Lookup!AN32)))))</f>
        <v>7.7896000000000007E-2</v>
      </c>
      <c r="K24" s="378"/>
    </row>
    <row r="25" spans="1:11" s="167" customFormat="1" ht="30" customHeight="1" x14ac:dyDescent="0.25">
      <c r="A25" s="374"/>
      <c r="B25" s="375"/>
      <c r="K25" s="378"/>
    </row>
    <row r="26" spans="1:11" s="167" customFormat="1" ht="30" customHeight="1" x14ac:dyDescent="0.25">
      <c r="A26" s="383"/>
      <c r="B26" s="384"/>
      <c r="C26" s="385"/>
      <c r="D26" s="385"/>
      <c r="E26" s="385"/>
      <c r="F26" s="385"/>
      <c r="G26" s="385"/>
      <c r="H26" s="385"/>
      <c r="I26" s="385"/>
      <c r="J26" s="385"/>
      <c r="K26" s="386"/>
    </row>
  </sheetData>
  <sheetProtection algorithmName="SHA-512" hashValue="Bh5yrk4ZC5n+PeZY6DQtQLvaPGgaVJ7+SLMhEXROSyazbvnlOFKyzZoNBs07ItqpNo2bVQSOXyqRJhPCaYurAQ==" saltValue="Kkm2BTCsXHu+YZJrU9JjNg==" spinCount="100000" sheet="1" objects="1" scenarios="1"/>
  <mergeCells count="3">
    <mergeCell ref="C4:F4"/>
    <mergeCell ref="H9:J12"/>
    <mergeCell ref="B3:K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CCFFCC"/>
    <pageSetUpPr fitToPage="1"/>
  </sheetPr>
  <dimension ref="A1:P70"/>
  <sheetViews>
    <sheetView view="pageBreakPreview" topLeftCell="A3" zoomScale="70" zoomScaleNormal="40" zoomScaleSheetLayoutView="70" workbookViewId="0">
      <selection activeCell="I12" sqref="I12:K12"/>
    </sheetView>
  </sheetViews>
  <sheetFormatPr defaultRowHeight="15" x14ac:dyDescent="0.25"/>
  <cols>
    <col min="1" max="1" width="4.7109375" customWidth="1"/>
    <col min="2" max="2" width="10.5703125" customWidth="1"/>
    <col min="4" max="4" width="22.5703125" customWidth="1"/>
    <col min="5" max="5" width="18.7109375" customWidth="1"/>
    <col min="6" max="6" width="5.140625" customWidth="1"/>
    <col min="7" max="7" width="9.42578125" customWidth="1"/>
    <col min="8" max="8" width="5.28515625" customWidth="1"/>
    <col min="11" max="11" width="26.85546875" customWidth="1"/>
    <col min="12" max="12" width="17.28515625" customWidth="1"/>
    <col min="13" max="13" width="6.85546875" customWidth="1"/>
    <col min="14" max="14" width="5.7109375" customWidth="1"/>
    <col min="18" max="18" width="37.28515625" customWidth="1"/>
    <col min="19" max="19" width="17.140625" customWidth="1"/>
    <col min="20" max="20" width="16.7109375" customWidth="1"/>
    <col min="21" max="21" width="19" customWidth="1"/>
  </cols>
  <sheetData>
    <row r="1" spans="1:16" ht="36" customHeight="1" x14ac:dyDescent="0.25">
      <c r="A1" s="670">
        <f>'1) Project Information'!D4</f>
        <v>0</v>
      </c>
      <c r="B1" s="670"/>
      <c r="C1" s="670"/>
      <c r="D1" s="670"/>
      <c r="E1" s="670"/>
      <c r="F1" s="670"/>
      <c r="G1" s="670"/>
      <c r="H1" s="670"/>
      <c r="I1" s="670"/>
      <c r="J1" s="670"/>
      <c r="K1" s="670"/>
      <c r="L1" s="670"/>
      <c r="M1" s="670"/>
      <c r="N1" s="670"/>
    </row>
    <row r="2" spans="1:16" ht="21.75" x14ac:dyDescent="0.25">
      <c r="A2" s="671" t="s">
        <v>104</v>
      </c>
      <c r="B2" s="671"/>
      <c r="C2" s="671"/>
      <c r="D2" s="671"/>
      <c r="E2" s="671"/>
      <c r="F2" s="671"/>
      <c r="G2" s="671"/>
      <c r="H2" s="671"/>
      <c r="I2" s="671"/>
      <c r="J2" s="671"/>
      <c r="K2" s="671"/>
      <c r="L2" s="671"/>
      <c r="M2" s="671"/>
      <c r="N2" s="671"/>
    </row>
    <row r="3" spans="1:16" ht="17.25" x14ac:dyDescent="0.35">
      <c r="A3" s="8"/>
      <c r="B3" s="8"/>
      <c r="C3" s="8"/>
      <c r="D3" s="8"/>
      <c r="E3" s="8"/>
      <c r="F3" s="8"/>
      <c r="G3" s="8"/>
      <c r="H3" s="8"/>
      <c r="I3" s="8"/>
      <c r="J3" s="8"/>
      <c r="K3" s="8"/>
      <c r="L3" s="8"/>
      <c r="M3" s="8"/>
      <c r="N3" s="8"/>
    </row>
    <row r="4" spans="1:16" ht="19.5" x14ac:dyDescent="0.35">
      <c r="A4" s="8"/>
      <c r="B4" s="9" t="s">
        <v>101</v>
      </c>
      <c r="C4" s="10"/>
      <c r="D4" s="11">
        <f>'1) Project Information'!D3</f>
        <v>0</v>
      </c>
      <c r="E4" s="11"/>
      <c r="F4" s="11"/>
      <c r="G4" s="10"/>
      <c r="H4" s="10"/>
      <c r="I4" s="12"/>
      <c r="J4" s="9" t="s">
        <v>105</v>
      </c>
      <c r="K4" s="13">
        <f>'1) Project Information'!D5</f>
        <v>0</v>
      </c>
      <c r="L4" s="14"/>
      <c r="M4" s="14"/>
      <c r="N4" s="14"/>
      <c r="O4" s="2"/>
      <c r="P4" s="3"/>
    </row>
    <row r="5" spans="1:16" ht="17.25" x14ac:dyDescent="0.35">
      <c r="A5" s="8"/>
      <c r="B5" s="8"/>
      <c r="C5" s="8"/>
      <c r="D5" s="8"/>
      <c r="E5" s="8"/>
      <c r="F5" s="8"/>
      <c r="G5" s="8"/>
      <c r="H5" s="8"/>
      <c r="I5" s="8"/>
      <c r="J5" s="8"/>
      <c r="K5" s="8"/>
      <c r="L5" s="8"/>
      <c r="M5" s="8"/>
      <c r="N5" s="8"/>
      <c r="O5" s="4"/>
      <c r="P5" s="1"/>
    </row>
    <row r="6" spans="1:16" ht="19.5" x14ac:dyDescent="0.35">
      <c r="A6" s="15"/>
      <c r="B6" s="16"/>
      <c r="C6" s="16"/>
      <c r="D6" s="16"/>
      <c r="E6" s="17"/>
      <c r="F6" s="17"/>
      <c r="G6" s="18"/>
      <c r="H6" s="18"/>
      <c r="I6" s="19"/>
      <c r="J6" s="19"/>
      <c r="K6" s="19"/>
      <c r="L6" s="19"/>
      <c r="M6" s="19"/>
      <c r="N6" s="8"/>
      <c r="O6" s="4"/>
      <c r="P6" s="1"/>
    </row>
    <row r="7" spans="1:16" ht="19.899999999999999" customHeight="1" x14ac:dyDescent="0.4">
      <c r="A7" s="31"/>
      <c r="B7" s="32"/>
      <c r="C7" s="32"/>
      <c r="D7" s="32"/>
      <c r="E7" s="33"/>
      <c r="F7" s="34"/>
      <c r="G7" s="20"/>
      <c r="H7" s="42"/>
      <c r="I7" s="43"/>
      <c r="J7" s="43"/>
      <c r="K7" s="43"/>
      <c r="L7" s="44" t="s">
        <v>38</v>
      </c>
      <c r="M7" s="45"/>
      <c r="N7" s="8"/>
      <c r="O7" s="4"/>
      <c r="P7" s="1"/>
    </row>
    <row r="8" spans="1:16" ht="19.899999999999999" customHeight="1" x14ac:dyDescent="0.45">
      <c r="A8" s="35"/>
      <c r="B8" s="55" t="s">
        <v>309</v>
      </c>
      <c r="C8" s="55"/>
      <c r="D8" s="55"/>
      <c r="E8" s="21">
        <f>'Final Calculations'!I72</f>
        <v>0</v>
      </c>
      <c r="F8" s="36"/>
      <c r="G8" s="22"/>
      <c r="H8" s="46"/>
      <c r="I8" s="47" t="s">
        <v>190</v>
      </c>
      <c r="J8" s="47"/>
      <c r="K8" s="47"/>
      <c r="L8" s="48" t="s">
        <v>32</v>
      </c>
      <c r="M8" s="49"/>
      <c r="N8" s="8"/>
      <c r="O8" s="4"/>
      <c r="P8" s="1"/>
    </row>
    <row r="9" spans="1:16" ht="19.899999999999999" customHeight="1" x14ac:dyDescent="0.35">
      <c r="A9" s="35"/>
      <c r="B9" s="55" t="s">
        <v>310</v>
      </c>
      <c r="C9" s="55"/>
      <c r="D9" s="55"/>
      <c r="E9" s="21">
        <f>'Final Calculations'!H72</f>
        <v>0</v>
      </c>
      <c r="F9" s="36"/>
      <c r="G9" s="20"/>
      <c r="H9" s="50"/>
      <c r="I9" s="669" t="s">
        <v>341</v>
      </c>
      <c r="J9" s="669"/>
      <c r="K9" s="669"/>
      <c r="L9" s="21">
        <f>'Final Calculations'!E72</f>
        <v>0</v>
      </c>
      <c r="M9" s="49"/>
      <c r="N9" s="8"/>
      <c r="O9" s="4"/>
      <c r="P9" s="1"/>
    </row>
    <row r="10" spans="1:16" ht="19.899999999999999" customHeight="1" x14ac:dyDescent="0.35">
      <c r="A10" s="35"/>
      <c r="B10" s="55" t="s">
        <v>199</v>
      </c>
      <c r="C10" s="55"/>
      <c r="D10" s="55"/>
      <c r="E10" s="21">
        <f>'Final Calculations'!J72</f>
        <v>0</v>
      </c>
      <c r="F10" s="36"/>
      <c r="G10" s="22"/>
      <c r="H10" s="46"/>
      <c r="I10" s="669" t="s">
        <v>312</v>
      </c>
      <c r="J10" s="669"/>
      <c r="K10" s="669"/>
      <c r="L10" s="21">
        <f>'Final Calculations'!C72</f>
        <v>0</v>
      </c>
      <c r="M10" s="49"/>
      <c r="N10" s="8"/>
      <c r="O10" s="4"/>
      <c r="P10" s="1"/>
    </row>
    <row r="11" spans="1:16" ht="19.899999999999999" customHeight="1" x14ac:dyDescent="0.35">
      <c r="A11" s="35"/>
      <c r="B11" s="55" t="s">
        <v>34</v>
      </c>
      <c r="C11" s="55"/>
      <c r="D11" s="55"/>
      <c r="E11" s="23" t="e">
        <f>E9/E8</f>
        <v>#DIV/0!</v>
      </c>
      <c r="F11" s="37"/>
      <c r="G11" s="12"/>
      <c r="H11" s="51"/>
      <c r="I11" s="669" t="s">
        <v>30</v>
      </c>
      <c r="J11" s="669"/>
      <c r="K11" s="669"/>
      <c r="L11" s="21">
        <f>'Final Calculations'!G72</f>
        <v>0</v>
      </c>
      <c r="M11" s="49"/>
      <c r="N11" s="8"/>
      <c r="O11" s="4"/>
      <c r="P11" s="1"/>
    </row>
    <row r="12" spans="1:16" ht="19.899999999999999" customHeight="1" x14ac:dyDescent="0.35">
      <c r="A12" s="35"/>
      <c r="B12" s="490" t="s">
        <v>305</v>
      </c>
      <c r="C12" s="492"/>
      <c r="D12" s="493"/>
      <c r="E12" s="494">
        <f>IF('1) Project Information'!$E$17&gt;0, '1) Project Information'!E17,'1) Project Information'!D17)</f>
        <v>0.03</v>
      </c>
      <c r="F12" s="38"/>
      <c r="G12" s="12"/>
      <c r="H12" s="51"/>
      <c r="I12" s="669" t="s">
        <v>340</v>
      </c>
      <c r="J12" s="669"/>
      <c r="K12" s="669"/>
      <c r="L12" s="21">
        <f>'Final Calculations'!D72</f>
        <v>0</v>
      </c>
      <c r="M12" s="49"/>
      <c r="N12" s="8"/>
      <c r="O12" s="4"/>
      <c r="P12" s="1"/>
    </row>
    <row r="13" spans="1:16" ht="19.899999999999999" customHeight="1" x14ac:dyDescent="0.35">
      <c r="A13" s="39"/>
      <c r="B13" s="40"/>
      <c r="C13" s="40"/>
      <c r="D13" s="40"/>
      <c r="E13" s="40"/>
      <c r="F13" s="41"/>
      <c r="G13" s="12"/>
      <c r="H13" s="51"/>
      <c r="I13" s="669" t="s">
        <v>342</v>
      </c>
      <c r="J13" s="669"/>
      <c r="K13" s="669"/>
      <c r="L13" s="21">
        <f>'Final Calculations'!F72</f>
        <v>0</v>
      </c>
      <c r="M13" s="49"/>
      <c r="N13" s="8"/>
      <c r="O13" s="4"/>
      <c r="P13" s="1"/>
    </row>
    <row r="14" spans="1:16" ht="19.899999999999999" customHeight="1" x14ac:dyDescent="0.35">
      <c r="A14" s="24"/>
      <c r="B14" s="24"/>
      <c r="C14" s="24"/>
      <c r="D14" s="24"/>
      <c r="E14" s="24"/>
      <c r="F14" s="24"/>
      <c r="G14" s="12"/>
      <c r="H14" s="51"/>
      <c r="I14" s="56" t="s">
        <v>35</v>
      </c>
      <c r="J14" s="56"/>
      <c r="K14" s="56"/>
      <c r="L14" s="25">
        <f>SUM(L9:L13)</f>
        <v>0</v>
      </c>
      <c r="M14" s="49"/>
      <c r="N14" s="8"/>
      <c r="O14" s="4"/>
      <c r="P14" s="1"/>
    </row>
    <row r="15" spans="1:16" ht="19.899999999999999" customHeight="1" x14ac:dyDescent="0.35">
      <c r="A15" s="24"/>
      <c r="B15" s="24"/>
      <c r="C15" s="24"/>
      <c r="D15" s="24"/>
      <c r="E15" s="24"/>
      <c r="F15" s="24"/>
      <c r="G15" s="12"/>
      <c r="H15" s="52"/>
      <c r="I15" s="53"/>
      <c r="J15" s="53"/>
      <c r="K15" s="53"/>
      <c r="L15" s="53"/>
      <c r="M15" s="54"/>
      <c r="N15" s="8"/>
      <c r="O15" s="4"/>
      <c r="P15" s="1"/>
    </row>
    <row r="16" spans="1:16" ht="19.899999999999999" customHeight="1" x14ac:dyDescent="0.25">
      <c r="A16" s="26"/>
      <c r="B16" s="26"/>
      <c r="C16" s="26"/>
      <c r="D16" s="26"/>
      <c r="E16" s="26"/>
      <c r="F16" s="26"/>
      <c r="G16" s="27"/>
      <c r="H16" s="27"/>
      <c r="I16" s="6"/>
      <c r="J16" s="6"/>
      <c r="K16" s="6"/>
      <c r="L16" s="6"/>
      <c r="M16" s="6"/>
      <c r="N16" s="5"/>
      <c r="O16" s="4"/>
      <c r="P16" s="1"/>
    </row>
    <row r="17" spans="1:16" x14ac:dyDescent="0.25">
      <c r="A17" s="28"/>
      <c r="B17" s="7"/>
      <c r="C17" s="26"/>
      <c r="D17" s="26"/>
      <c r="E17" s="26"/>
      <c r="F17" s="26"/>
      <c r="G17" s="26"/>
      <c r="H17" s="26"/>
      <c r="I17" s="27"/>
      <c r="J17" s="26"/>
      <c r="K17" s="26"/>
      <c r="L17" s="26"/>
      <c r="M17" s="26"/>
      <c r="N17" s="26"/>
      <c r="O17" s="4"/>
      <c r="P17" s="1"/>
    </row>
    <row r="18" spans="1:16" x14ac:dyDescent="0.25">
      <c r="A18" s="28"/>
      <c r="B18" s="7"/>
      <c r="C18" s="26"/>
      <c r="D18" s="26"/>
      <c r="E18" s="26"/>
      <c r="F18" s="26"/>
      <c r="G18" s="26"/>
      <c r="H18" s="26"/>
      <c r="I18" s="27"/>
      <c r="J18" s="26"/>
      <c r="K18" s="26"/>
      <c r="L18" s="26"/>
      <c r="M18" s="26"/>
      <c r="N18" s="26"/>
      <c r="O18" s="4"/>
      <c r="P18" s="1"/>
    </row>
    <row r="19" spans="1:16" ht="18" x14ac:dyDescent="0.25">
      <c r="A19" s="28"/>
      <c r="B19" s="7"/>
      <c r="C19" s="7"/>
      <c r="D19" s="29"/>
      <c r="E19" s="29"/>
      <c r="F19" s="29"/>
      <c r="G19" s="30"/>
      <c r="H19" s="30"/>
      <c r="I19" s="27"/>
      <c r="J19" s="26"/>
      <c r="K19" s="26"/>
      <c r="L19" s="26"/>
      <c r="M19" s="26"/>
      <c r="N19" s="26"/>
      <c r="O19" s="4"/>
      <c r="P19" s="1"/>
    </row>
    <row r="20" spans="1:16" x14ac:dyDescent="0.25">
      <c r="A20" s="28"/>
      <c r="B20" s="7"/>
      <c r="C20" s="6"/>
      <c r="D20" s="6"/>
      <c r="E20" s="6"/>
      <c r="F20" s="6"/>
      <c r="G20" s="6"/>
      <c r="H20" s="6"/>
      <c r="I20" s="27"/>
      <c r="J20" s="6"/>
      <c r="K20" s="6"/>
      <c r="L20" s="6"/>
      <c r="M20" s="6"/>
      <c r="N20" s="6"/>
      <c r="O20" s="4"/>
      <c r="P20" s="1"/>
    </row>
    <row r="21" spans="1:16" x14ac:dyDescent="0.25">
      <c r="A21" s="5"/>
      <c r="B21" s="5"/>
      <c r="C21" s="5"/>
      <c r="D21" s="5"/>
      <c r="E21" s="5"/>
      <c r="F21" s="5"/>
      <c r="G21" s="5"/>
      <c r="H21" s="5"/>
      <c r="I21" s="5"/>
      <c r="J21" s="5"/>
      <c r="K21" s="5"/>
      <c r="L21" s="5"/>
      <c r="M21" s="5"/>
      <c r="N21" s="5"/>
    </row>
    <row r="22" spans="1:16" x14ac:dyDescent="0.25">
      <c r="A22" s="5"/>
      <c r="B22" s="5"/>
      <c r="C22" s="5"/>
      <c r="D22" s="5"/>
      <c r="E22" s="5"/>
      <c r="F22" s="5"/>
      <c r="G22" s="5"/>
      <c r="H22" s="5"/>
      <c r="I22" s="5"/>
      <c r="J22" s="5"/>
      <c r="K22" s="5"/>
      <c r="L22" s="5"/>
      <c r="M22" s="5"/>
      <c r="N22" s="5"/>
    </row>
    <row r="23" spans="1:16" x14ac:dyDescent="0.25">
      <c r="A23" s="5"/>
      <c r="B23" s="5"/>
      <c r="C23" s="5"/>
      <c r="D23" s="5"/>
      <c r="E23" s="5"/>
      <c r="F23" s="5"/>
      <c r="G23" s="5"/>
      <c r="H23" s="5"/>
      <c r="I23" s="5"/>
      <c r="J23" s="5"/>
      <c r="K23" s="5"/>
      <c r="L23" s="5"/>
      <c r="M23" s="5"/>
      <c r="N23" s="5"/>
    </row>
    <row r="24" spans="1:16" x14ac:dyDescent="0.25">
      <c r="A24" s="5"/>
      <c r="B24" s="5"/>
      <c r="C24" s="5"/>
      <c r="D24" s="5"/>
      <c r="E24" s="5"/>
      <c r="F24" s="5"/>
      <c r="G24" s="5"/>
      <c r="H24" s="5"/>
      <c r="I24" s="5"/>
      <c r="J24" s="5"/>
      <c r="K24" s="5"/>
      <c r="L24" s="5"/>
      <c r="M24" s="5"/>
      <c r="N24" s="5"/>
    </row>
    <row r="25" spans="1:16" x14ac:dyDescent="0.25">
      <c r="A25" s="5"/>
      <c r="B25" s="5"/>
      <c r="C25" s="5"/>
      <c r="D25" s="5"/>
      <c r="E25" s="5"/>
      <c r="F25" s="5"/>
      <c r="G25" s="5"/>
      <c r="H25" s="5"/>
      <c r="I25" s="5"/>
      <c r="J25" s="5"/>
      <c r="K25" s="5"/>
      <c r="L25" s="5"/>
      <c r="M25" s="5"/>
      <c r="N25" s="5"/>
    </row>
    <row r="26" spans="1:16" x14ac:dyDescent="0.25">
      <c r="A26" s="5"/>
      <c r="B26" s="5"/>
      <c r="C26" s="5"/>
      <c r="D26" s="5"/>
      <c r="E26" s="5"/>
      <c r="F26" s="5"/>
      <c r="G26" s="5"/>
      <c r="H26" s="5"/>
      <c r="I26" s="5"/>
      <c r="J26" s="5"/>
      <c r="K26" s="5"/>
      <c r="L26" s="5"/>
      <c r="M26" s="5"/>
      <c r="N26" s="5"/>
    </row>
    <row r="27" spans="1:16" x14ac:dyDescent="0.25">
      <c r="A27" s="5"/>
      <c r="B27" s="5"/>
      <c r="C27" s="5"/>
      <c r="D27" s="5"/>
      <c r="E27" s="5"/>
      <c r="F27" s="5"/>
      <c r="G27" s="5"/>
      <c r="H27" s="5"/>
      <c r="I27" s="5"/>
      <c r="J27" s="5"/>
      <c r="K27" s="5"/>
      <c r="L27" s="5"/>
      <c r="M27" s="5"/>
      <c r="N27" s="5"/>
    </row>
    <row r="28" spans="1:16" x14ac:dyDescent="0.25">
      <c r="A28" s="5"/>
      <c r="B28" s="5"/>
      <c r="C28" s="5"/>
      <c r="D28" s="5"/>
      <c r="E28" s="5"/>
      <c r="F28" s="5"/>
      <c r="G28" s="5"/>
      <c r="H28" s="5"/>
      <c r="I28" s="5"/>
      <c r="J28" s="5"/>
      <c r="K28" s="5"/>
      <c r="L28" s="5"/>
      <c r="M28" s="5"/>
      <c r="N28" s="5"/>
    </row>
    <row r="29" spans="1:16" x14ac:dyDescent="0.25">
      <c r="A29" s="5"/>
      <c r="B29" s="5"/>
      <c r="C29" s="5"/>
      <c r="D29" s="5"/>
      <c r="E29" s="5"/>
      <c r="F29" s="5"/>
      <c r="G29" s="5"/>
      <c r="H29" s="5"/>
      <c r="I29" s="5"/>
      <c r="J29" s="5"/>
      <c r="K29" s="5"/>
      <c r="L29" s="5"/>
      <c r="M29" s="5"/>
      <c r="N29" s="5"/>
    </row>
    <row r="30" spans="1:16" x14ac:dyDescent="0.25">
      <c r="A30" s="5"/>
      <c r="B30" s="5"/>
      <c r="C30" s="5"/>
      <c r="D30" s="5"/>
      <c r="E30" s="5"/>
      <c r="F30" s="5"/>
      <c r="G30" s="5"/>
      <c r="H30" s="5"/>
      <c r="I30" s="5"/>
      <c r="J30" s="5"/>
      <c r="K30" s="5"/>
      <c r="L30" s="5"/>
      <c r="M30" s="5"/>
      <c r="N30" s="5"/>
    </row>
    <row r="31" spans="1:16" x14ac:dyDescent="0.25">
      <c r="A31" s="5"/>
      <c r="B31" s="5"/>
      <c r="C31" s="5"/>
      <c r="D31" s="5"/>
      <c r="E31" s="5"/>
      <c r="F31" s="5"/>
      <c r="G31" s="5"/>
      <c r="H31" s="5"/>
      <c r="I31" s="5"/>
      <c r="J31" s="5"/>
      <c r="K31" s="5"/>
      <c r="L31" s="5"/>
      <c r="M31" s="5"/>
      <c r="N31" s="5"/>
    </row>
    <row r="32" spans="1:16" x14ac:dyDescent="0.25">
      <c r="A32" s="5"/>
      <c r="B32" s="5"/>
      <c r="C32" s="5"/>
      <c r="D32" s="5"/>
      <c r="E32" s="5"/>
      <c r="F32" s="5"/>
      <c r="G32" s="5"/>
      <c r="H32" s="5"/>
      <c r="I32" s="5"/>
      <c r="J32" s="5"/>
      <c r="K32" s="5"/>
      <c r="L32" s="5"/>
      <c r="M32" s="5"/>
      <c r="N32" s="5"/>
    </row>
    <row r="33" spans="1:14" x14ac:dyDescent="0.25">
      <c r="A33" s="5"/>
      <c r="B33" s="5"/>
      <c r="C33" s="5"/>
      <c r="D33" s="5"/>
      <c r="E33" s="5"/>
      <c r="F33" s="5"/>
      <c r="G33" s="5"/>
      <c r="H33" s="5"/>
      <c r="I33" s="5"/>
      <c r="J33" s="5"/>
      <c r="K33" s="5"/>
      <c r="L33" s="5"/>
      <c r="M33" s="5"/>
      <c r="N33" s="5"/>
    </row>
    <row r="34" spans="1:14" x14ac:dyDescent="0.25">
      <c r="A34" s="5"/>
      <c r="B34" s="5"/>
      <c r="C34" s="5"/>
      <c r="D34" s="5"/>
      <c r="E34" s="5"/>
      <c r="F34" s="5"/>
      <c r="G34" s="5"/>
      <c r="H34" s="5"/>
      <c r="I34" s="5"/>
      <c r="J34" s="5"/>
      <c r="K34" s="5"/>
      <c r="L34" s="5"/>
      <c r="M34" s="5"/>
      <c r="N34" s="5"/>
    </row>
    <row r="35" spans="1:14" x14ac:dyDescent="0.25">
      <c r="A35" s="5"/>
      <c r="B35" s="5"/>
      <c r="C35" s="5"/>
      <c r="D35" s="5"/>
      <c r="E35" s="5"/>
      <c r="F35" s="5"/>
      <c r="G35" s="5"/>
      <c r="H35" s="5"/>
      <c r="I35" s="5"/>
      <c r="J35" s="5"/>
      <c r="K35" s="5"/>
      <c r="L35" s="5"/>
      <c r="M35" s="5"/>
      <c r="N35" s="5"/>
    </row>
    <row r="36" spans="1:14" x14ac:dyDescent="0.25">
      <c r="A36" s="5"/>
      <c r="B36" s="5"/>
      <c r="C36" s="5"/>
      <c r="D36" s="5"/>
      <c r="E36" s="5"/>
      <c r="F36" s="5"/>
      <c r="G36" s="5"/>
      <c r="H36" s="5"/>
      <c r="I36" s="5"/>
      <c r="J36" s="5"/>
      <c r="K36" s="5"/>
      <c r="L36" s="5"/>
      <c r="M36" s="5"/>
      <c r="N36" s="5"/>
    </row>
    <row r="37" spans="1:14" x14ac:dyDescent="0.25">
      <c r="A37" s="5"/>
      <c r="B37" s="5"/>
      <c r="C37" s="5"/>
      <c r="D37" s="5"/>
      <c r="E37" s="5"/>
      <c r="F37" s="5"/>
      <c r="G37" s="5"/>
      <c r="H37" s="5"/>
      <c r="I37" s="5"/>
      <c r="J37" s="5"/>
      <c r="K37" s="5"/>
      <c r="L37" s="5"/>
      <c r="M37" s="5"/>
      <c r="N37" s="5"/>
    </row>
    <row r="38" spans="1:14" x14ac:dyDescent="0.25">
      <c r="A38" s="5"/>
      <c r="B38" s="5"/>
      <c r="C38" s="5"/>
      <c r="D38" s="5"/>
      <c r="E38" s="5"/>
      <c r="F38" s="5"/>
      <c r="G38" s="5"/>
      <c r="H38" s="5"/>
      <c r="I38" s="5"/>
      <c r="J38" s="5"/>
      <c r="K38" s="5"/>
      <c r="L38" s="5"/>
      <c r="M38" s="5"/>
      <c r="N38" s="5"/>
    </row>
    <row r="39" spans="1:14" x14ac:dyDescent="0.25">
      <c r="A39" s="5"/>
      <c r="B39" s="5"/>
      <c r="C39" s="5"/>
      <c r="D39" s="5"/>
      <c r="E39" s="5"/>
      <c r="F39" s="5"/>
      <c r="G39" s="5"/>
      <c r="H39" s="5"/>
      <c r="I39" s="5"/>
      <c r="J39" s="5"/>
      <c r="K39" s="5"/>
      <c r="L39" s="5"/>
      <c r="M39" s="5"/>
      <c r="N39" s="5"/>
    </row>
    <row r="40" spans="1:14" x14ac:dyDescent="0.25">
      <c r="A40" s="5"/>
      <c r="B40" s="5"/>
      <c r="C40" s="5"/>
      <c r="D40" s="5"/>
      <c r="E40" s="5"/>
      <c r="F40" s="5"/>
      <c r="G40" s="5"/>
      <c r="H40" s="5"/>
      <c r="I40" s="5"/>
      <c r="J40" s="5"/>
      <c r="K40" s="5"/>
      <c r="L40" s="5"/>
      <c r="M40" s="5"/>
      <c r="N40" s="5"/>
    </row>
    <row r="41" spans="1:14" x14ac:dyDescent="0.25">
      <c r="A41" s="5"/>
      <c r="B41" s="5"/>
      <c r="C41" s="5"/>
      <c r="D41" s="5"/>
      <c r="E41" s="5"/>
      <c r="F41" s="5"/>
      <c r="G41" s="5"/>
      <c r="H41" s="5"/>
      <c r="I41" s="5"/>
      <c r="J41" s="5"/>
      <c r="K41" s="5"/>
      <c r="L41" s="5"/>
      <c r="M41" s="5"/>
      <c r="N41" s="5"/>
    </row>
    <row r="42" spans="1:14" x14ac:dyDescent="0.25">
      <c r="A42" s="5"/>
      <c r="B42" s="5"/>
      <c r="C42" s="5"/>
      <c r="D42" s="5"/>
      <c r="E42" s="5"/>
      <c r="F42" s="5"/>
      <c r="G42" s="5"/>
      <c r="H42" s="5"/>
      <c r="I42" s="5"/>
      <c r="J42" s="5"/>
      <c r="K42" s="5"/>
      <c r="L42" s="5"/>
      <c r="M42" s="5"/>
      <c r="N42" s="5"/>
    </row>
    <row r="43" spans="1:14" x14ac:dyDescent="0.25">
      <c r="A43" s="5"/>
      <c r="B43" s="5"/>
      <c r="C43" s="5"/>
      <c r="D43" s="5"/>
      <c r="E43" s="5"/>
      <c r="F43" s="5"/>
      <c r="G43" s="5"/>
      <c r="H43" s="5"/>
      <c r="I43" s="5"/>
      <c r="J43" s="5"/>
      <c r="K43" s="5"/>
      <c r="L43" s="5"/>
      <c r="M43" s="5"/>
      <c r="N43" s="5"/>
    </row>
    <row r="44" spans="1:14" x14ac:dyDescent="0.25">
      <c r="A44" s="5"/>
      <c r="B44" s="5"/>
      <c r="C44" s="5"/>
      <c r="D44" s="5"/>
      <c r="E44" s="5"/>
      <c r="F44" s="5"/>
      <c r="G44" s="5"/>
      <c r="H44" s="5"/>
      <c r="I44" s="5"/>
      <c r="J44" s="5"/>
      <c r="K44" s="5"/>
      <c r="L44" s="5"/>
      <c r="M44" s="5"/>
      <c r="N44" s="5"/>
    </row>
    <row r="45" spans="1:14" x14ac:dyDescent="0.25">
      <c r="A45" s="5"/>
      <c r="B45" s="5"/>
      <c r="C45" s="5"/>
      <c r="D45" s="5"/>
      <c r="E45" s="5"/>
      <c r="F45" s="5"/>
      <c r="G45" s="5"/>
      <c r="H45" s="5"/>
      <c r="I45" s="5"/>
      <c r="J45" s="5"/>
      <c r="K45" s="5"/>
      <c r="L45" s="5"/>
      <c r="M45" s="5"/>
      <c r="N45" s="5"/>
    </row>
    <row r="46" spans="1:14" x14ac:dyDescent="0.25">
      <c r="A46" s="5"/>
      <c r="B46" s="5"/>
      <c r="C46" s="5"/>
      <c r="D46" s="5"/>
      <c r="E46" s="5"/>
      <c r="F46" s="5"/>
      <c r="G46" s="5"/>
      <c r="H46" s="5"/>
      <c r="I46" s="5"/>
      <c r="J46" s="5"/>
      <c r="K46" s="5"/>
      <c r="L46" s="5"/>
      <c r="M46" s="5"/>
      <c r="N46" s="5"/>
    </row>
    <row r="47" spans="1:14" x14ac:dyDescent="0.25">
      <c r="A47" s="5"/>
      <c r="B47" s="5"/>
      <c r="C47" s="5"/>
      <c r="D47" s="5"/>
      <c r="E47" s="5"/>
      <c r="F47" s="5"/>
      <c r="G47" s="5"/>
      <c r="H47" s="5"/>
      <c r="I47" s="5"/>
      <c r="J47" s="5"/>
      <c r="K47" s="5"/>
      <c r="L47" s="5"/>
      <c r="M47" s="5"/>
      <c r="N47" s="5"/>
    </row>
    <row r="48" spans="1:14" x14ac:dyDescent="0.25">
      <c r="A48" s="5"/>
      <c r="B48" s="5"/>
      <c r="C48" s="5"/>
      <c r="D48" s="5"/>
      <c r="E48" s="5"/>
      <c r="F48" s="5"/>
      <c r="G48" s="5"/>
      <c r="H48" s="5"/>
      <c r="I48" s="5"/>
      <c r="J48" s="5"/>
      <c r="K48" s="5"/>
      <c r="L48" s="5"/>
      <c r="M48" s="5"/>
      <c r="N48" s="5"/>
    </row>
    <row r="49" spans="1:14" x14ac:dyDescent="0.25">
      <c r="A49" s="5"/>
      <c r="B49" s="5"/>
      <c r="C49" s="5"/>
      <c r="D49" s="5"/>
      <c r="E49" s="5"/>
      <c r="F49" s="5"/>
      <c r="G49" s="5"/>
      <c r="H49" s="5"/>
      <c r="I49" s="5"/>
      <c r="J49" s="5"/>
      <c r="K49" s="5"/>
      <c r="L49" s="5"/>
      <c r="M49" s="5"/>
      <c r="N49" s="5"/>
    </row>
    <row r="50" spans="1:14" x14ac:dyDescent="0.25">
      <c r="A50" s="5"/>
      <c r="B50" s="5"/>
      <c r="C50" s="5"/>
      <c r="D50" s="5"/>
      <c r="E50" s="5"/>
      <c r="F50" s="5"/>
      <c r="G50" s="5"/>
      <c r="H50" s="5"/>
      <c r="I50" s="5"/>
      <c r="J50" s="5"/>
      <c r="K50" s="5"/>
      <c r="L50" s="5"/>
      <c r="M50" s="5"/>
      <c r="N50" s="5"/>
    </row>
    <row r="51" spans="1:14" x14ac:dyDescent="0.25">
      <c r="A51" s="5"/>
      <c r="B51" s="5"/>
      <c r="C51" s="5"/>
      <c r="D51" s="5"/>
      <c r="E51" s="5"/>
      <c r="F51" s="5"/>
      <c r="G51" s="5"/>
      <c r="H51" s="5"/>
      <c r="I51" s="5"/>
      <c r="J51" s="5"/>
      <c r="K51" s="5"/>
      <c r="L51" s="5"/>
      <c r="M51" s="5"/>
      <c r="N51" s="5"/>
    </row>
    <row r="52" spans="1:14" x14ac:dyDescent="0.25">
      <c r="A52" s="5"/>
      <c r="B52" s="5"/>
      <c r="C52" s="5"/>
      <c r="D52" s="5"/>
      <c r="E52" s="5"/>
      <c r="F52" s="5"/>
      <c r="G52" s="5"/>
      <c r="H52" s="5"/>
      <c r="I52" s="5"/>
      <c r="J52" s="5"/>
      <c r="K52" s="5"/>
      <c r="L52" s="5"/>
      <c r="M52" s="5"/>
      <c r="N52" s="5"/>
    </row>
    <row r="53" spans="1:14" x14ac:dyDescent="0.25">
      <c r="A53" s="5"/>
      <c r="B53" s="5"/>
      <c r="C53" s="5"/>
      <c r="D53" s="5"/>
      <c r="E53" s="5"/>
      <c r="F53" s="5"/>
      <c r="G53" s="5"/>
      <c r="H53" s="5"/>
      <c r="I53" s="5"/>
      <c r="J53" s="5"/>
      <c r="K53" s="5"/>
      <c r="L53" s="5"/>
      <c r="M53" s="5"/>
      <c r="N53" s="5"/>
    </row>
    <row r="54" spans="1:14" x14ac:dyDescent="0.25">
      <c r="A54" s="5"/>
      <c r="B54" s="5"/>
      <c r="C54" s="5"/>
      <c r="D54" s="5"/>
      <c r="E54" s="5"/>
      <c r="F54" s="5"/>
      <c r="G54" s="5"/>
      <c r="H54" s="5"/>
      <c r="I54" s="5"/>
      <c r="J54" s="5"/>
      <c r="K54" s="5"/>
      <c r="L54" s="5"/>
      <c r="M54" s="5"/>
      <c r="N54" s="5"/>
    </row>
    <row r="55" spans="1:14" x14ac:dyDescent="0.25">
      <c r="A55" s="5"/>
      <c r="B55" s="5"/>
      <c r="C55" s="5"/>
      <c r="D55" s="5"/>
      <c r="E55" s="5"/>
      <c r="F55" s="5"/>
      <c r="G55" s="5"/>
      <c r="H55" s="5"/>
      <c r="I55" s="5"/>
      <c r="J55" s="5"/>
      <c r="K55" s="5"/>
      <c r="L55" s="5"/>
      <c r="M55" s="5"/>
      <c r="N55" s="5"/>
    </row>
    <row r="56" spans="1:14" x14ac:dyDescent="0.25">
      <c r="A56" s="5"/>
      <c r="B56" s="5"/>
      <c r="C56" s="5"/>
      <c r="D56" s="5"/>
      <c r="E56" s="5"/>
      <c r="F56" s="5"/>
      <c r="G56" s="5"/>
      <c r="H56" s="5"/>
      <c r="I56" s="5"/>
      <c r="J56" s="5"/>
      <c r="K56" s="5"/>
      <c r="L56" s="5"/>
      <c r="M56" s="5"/>
      <c r="N56" s="5"/>
    </row>
    <row r="57" spans="1:14" x14ac:dyDescent="0.25">
      <c r="A57" s="5"/>
      <c r="B57" s="5"/>
      <c r="C57" s="5"/>
      <c r="D57" s="5"/>
      <c r="E57" s="5"/>
      <c r="F57" s="5"/>
      <c r="G57" s="5"/>
      <c r="H57" s="5"/>
      <c r="I57" s="5"/>
      <c r="J57" s="5"/>
      <c r="K57" s="5"/>
      <c r="L57" s="5"/>
      <c r="M57" s="5"/>
      <c r="N57" s="5"/>
    </row>
    <row r="58" spans="1:14" x14ac:dyDescent="0.25">
      <c r="A58" s="5"/>
      <c r="B58" s="5"/>
      <c r="C58" s="5"/>
      <c r="D58" s="5"/>
      <c r="E58" s="5"/>
      <c r="F58" s="5"/>
      <c r="G58" s="5"/>
      <c r="H58" s="5"/>
      <c r="I58" s="5"/>
      <c r="J58" s="5"/>
      <c r="K58" s="5"/>
      <c r="L58" s="5"/>
      <c r="M58" s="5"/>
      <c r="N58" s="5"/>
    </row>
    <row r="59" spans="1:14" x14ac:dyDescent="0.25">
      <c r="A59" s="5"/>
      <c r="B59" s="5"/>
      <c r="C59" s="5"/>
      <c r="D59" s="5"/>
      <c r="E59" s="5"/>
      <c r="F59" s="5"/>
      <c r="G59" s="5"/>
      <c r="H59" s="5"/>
      <c r="I59" s="5"/>
      <c r="J59" s="5"/>
      <c r="K59" s="5"/>
      <c r="L59" s="5"/>
      <c r="M59" s="5"/>
      <c r="N59" s="5"/>
    </row>
    <row r="60" spans="1:14" x14ac:dyDescent="0.25">
      <c r="A60" s="5"/>
      <c r="B60" s="5"/>
      <c r="C60" s="5"/>
      <c r="D60" s="5"/>
      <c r="E60" s="5"/>
      <c r="F60" s="5"/>
      <c r="G60" s="5"/>
      <c r="H60" s="5"/>
      <c r="I60" s="5"/>
      <c r="J60" s="5"/>
      <c r="K60" s="5"/>
      <c r="L60" s="5"/>
      <c r="M60" s="5"/>
      <c r="N60" s="5"/>
    </row>
    <row r="61" spans="1:14" x14ac:dyDescent="0.25">
      <c r="A61" s="5"/>
      <c r="B61" s="5"/>
      <c r="C61" s="5"/>
      <c r="D61" s="5"/>
      <c r="E61" s="5"/>
      <c r="F61" s="5"/>
      <c r="G61" s="5"/>
      <c r="H61" s="5"/>
      <c r="I61" s="5"/>
      <c r="J61" s="5"/>
      <c r="K61" s="5"/>
      <c r="L61" s="5"/>
      <c r="M61" s="5"/>
      <c r="N61" s="5"/>
    </row>
    <row r="62" spans="1:14" x14ac:dyDescent="0.25">
      <c r="A62" s="5"/>
      <c r="B62" s="5"/>
      <c r="C62" s="5"/>
      <c r="D62" s="5"/>
      <c r="E62" s="5"/>
      <c r="F62" s="5"/>
      <c r="G62" s="5"/>
      <c r="H62" s="5"/>
      <c r="I62" s="5"/>
      <c r="J62" s="5"/>
      <c r="K62" s="5"/>
      <c r="L62" s="5"/>
      <c r="M62" s="5"/>
      <c r="N62" s="5"/>
    </row>
    <row r="63" spans="1:14" x14ac:dyDescent="0.25">
      <c r="A63" s="5"/>
      <c r="B63" s="5"/>
      <c r="C63" s="5"/>
      <c r="D63" s="5"/>
      <c r="E63" s="5"/>
      <c r="F63" s="5"/>
      <c r="G63" s="5"/>
      <c r="H63" s="5"/>
      <c r="I63" s="5"/>
      <c r="J63" s="5"/>
      <c r="K63" s="5"/>
      <c r="L63" s="5"/>
      <c r="M63" s="5"/>
      <c r="N63" s="5"/>
    </row>
    <row r="64" spans="1:14" x14ac:dyDescent="0.25">
      <c r="A64" s="5"/>
      <c r="B64" s="5"/>
      <c r="C64" s="5"/>
      <c r="D64" s="5"/>
      <c r="E64" s="5"/>
      <c r="F64" s="5"/>
      <c r="G64" s="5"/>
      <c r="H64" s="5"/>
      <c r="I64" s="5"/>
      <c r="J64" s="5"/>
      <c r="K64" s="5"/>
      <c r="L64" s="5"/>
      <c r="M64" s="5"/>
      <c r="N64" s="5"/>
    </row>
    <row r="65" spans="1:14" x14ac:dyDescent="0.25">
      <c r="A65" s="5"/>
      <c r="B65" s="5"/>
      <c r="C65" s="5"/>
      <c r="D65" s="5"/>
      <c r="E65" s="5"/>
      <c r="F65" s="5"/>
      <c r="G65" s="5"/>
      <c r="H65" s="5"/>
      <c r="I65" s="5"/>
      <c r="J65" s="5"/>
      <c r="K65" s="5"/>
      <c r="L65" s="5"/>
      <c r="M65" s="5"/>
      <c r="N65" s="5"/>
    </row>
    <row r="66" spans="1:14" x14ac:dyDescent="0.25">
      <c r="A66" s="5"/>
      <c r="B66" s="5"/>
      <c r="C66" s="5"/>
      <c r="D66" s="5"/>
      <c r="E66" s="5"/>
      <c r="F66" s="5"/>
      <c r="G66" s="5"/>
      <c r="H66" s="5"/>
      <c r="I66" s="5"/>
      <c r="J66" s="5"/>
      <c r="K66" s="5"/>
      <c r="L66" s="5"/>
      <c r="M66" s="5"/>
      <c r="N66" s="5"/>
    </row>
    <row r="67" spans="1:14" x14ac:dyDescent="0.25">
      <c r="A67" s="5"/>
      <c r="B67" s="5"/>
      <c r="C67" s="5"/>
      <c r="D67" s="5"/>
      <c r="E67" s="5"/>
      <c r="F67" s="5"/>
      <c r="G67" s="5"/>
      <c r="H67" s="5"/>
      <c r="I67" s="5"/>
      <c r="J67" s="5"/>
      <c r="K67" s="5"/>
      <c r="L67" s="5"/>
      <c r="M67" s="5"/>
      <c r="N67" s="5"/>
    </row>
    <row r="68" spans="1:14" x14ac:dyDescent="0.25">
      <c r="A68" s="5"/>
      <c r="B68" s="5"/>
      <c r="C68" s="5"/>
      <c r="D68" s="5"/>
      <c r="E68" s="5"/>
      <c r="F68" s="5"/>
      <c r="G68" s="5"/>
      <c r="H68" s="5"/>
      <c r="I68" s="5"/>
      <c r="J68" s="5"/>
      <c r="K68" s="5"/>
      <c r="L68" s="5"/>
      <c r="M68" s="5"/>
      <c r="N68" s="5"/>
    </row>
    <row r="69" spans="1:14" x14ac:dyDescent="0.25">
      <c r="A69" s="5"/>
      <c r="B69" s="5"/>
      <c r="C69" s="5"/>
      <c r="D69" s="5"/>
      <c r="E69" s="5"/>
      <c r="F69" s="5"/>
      <c r="G69" s="5"/>
      <c r="H69" s="5"/>
      <c r="I69" s="5"/>
      <c r="J69" s="5"/>
      <c r="K69" s="5"/>
      <c r="L69" s="5"/>
      <c r="M69" s="5"/>
      <c r="N69" s="5"/>
    </row>
    <row r="70" spans="1:14" x14ac:dyDescent="0.25">
      <c r="A70" s="5"/>
      <c r="B70" s="5"/>
      <c r="C70" s="5"/>
      <c r="D70" s="5"/>
      <c r="E70" s="5"/>
      <c r="F70" s="5"/>
      <c r="G70" s="5"/>
      <c r="H70" s="5"/>
      <c r="I70" s="5"/>
      <c r="J70" s="5"/>
      <c r="K70" s="5"/>
      <c r="L70" s="5"/>
      <c r="M70" s="5"/>
      <c r="N70" s="5"/>
    </row>
  </sheetData>
  <sheetProtection algorithmName="SHA-512" hashValue="fHFvzBbzuC6/Inlk8yb1HXKukhUrGAJ4WL+v6lYLXrDb1MO/BuVSDhE1ADLQOiQwrEASWj9QPNmYcqe4OGTunA==" saltValue="PLFZ+2hCCNW/LfGHjjNxUQ==" spinCount="100000" sheet="1" objects="1" scenarios="1"/>
  <mergeCells count="7">
    <mergeCell ref="I13:K13"/>
    <mergeCell ref="A1:N1"/>
    <mergeCell ref="A2:N2"/>
    <mergeCell ref="I9:K9"/>
    <mergeCell ref="I10:K10"/>
    <mergeCell ref="I11:K11"/>
    <mergeCell ref="I12:K12"/>
  </mergeCells>
  <pageMargins left="0.7" right="0.7" top="0.75" bottom="0.75" header="0.3" footer="0.3"/>
  <pageSetup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Macro1">
                <anchor moveWithCells="1" sizeWithCells="1">
                  <from>
                    <xdr:col>11</xdr:col>
                    <xdr:colOff>971550</xdr:colOff>
                    <xdr:row>0</xdr:row>
                    <xdr:rowOff>104775</xdr:rowOff>
                  </from>
                  <to>
                    <xdr:col>13</xdr:col>
                    <xdr:colOff>0</xdr:colOff>
                    <xdr:row>0</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79998168889431442"/>
    <pageSetUpPr fitToPage="1"/>
  </sheetPr>
  <dimension ref="A1:P123"/>
  <sheetViews>
    <sheetView showGridLines="0" zoomScale="40" zoomScaleNormal="40" zoomScalePageLayoutView="30" workbookViewId="0">
      <selection activeCell="I61" sqref="I61"/>
    </sheetView>
  </sheetViews>
  <sheetFormatPr defaultColWidth="8.85546875" defaultRowHeight="11.25" x14ac:dyDescent="0.2"/>
  <cols>
    <col min="1" max="1" width="10.7109375" style="95" customWidth="1"/>
    <col min="2" max="2" width="25.7109375" style="95" customWidth="1"/>
    <col min="3" max="3" width="41.85546875" style="95" customWidth="1"/>
    <col min="4" max="4" width="33.42578125" style="95" customWidth="1"/>
    <col min="5" max="5" width="34.28515625" style="95" customWidth="1"/>
    <col min="6" max="10" width="25.7109375" style="95" customWidth="1"/>
    <col min="11" max="11" width="15" style="95" customWidth="1"/>
    <col min="12" max="12" width="31" style="95" customWidth="1"/>
    <col min="13" max="13" width="13.7109375" style="95" customWidth="1"/>
    <col min="14" max="16" width="10.7109375" style="95" customWidth="1"/>
    <col min="17" max="16384" width="8.85546875" style="95"/>
  </cols>
  <sheetData>
    <row r="1" spans="1:16" ht="53.25" x14ac:dyDescent="1">
      <c r="B1" s="113" t="s">
        <v>109</v>
      </c>
      <c r="L1" s="61"/>
      <c r="M1" s="61"/>
      <c r="N1" s="61"/>
      <c r="O1" s="61"/>
      <c r="P1" s="61"/>
    </row>
    <row r="2" spans="1:16" ht="35.1" customHeight="1" x14ac:dyDescent="0.25">
      <c r="B2" s="116" t="s">
        <v>201</v>
      </c>
      <c r="L2" s="114" t="s">
        <v>119</v>
      </c>
      <c r="M2" s="61"/>
      <c r="N2" s="61"/>
      <c r="O2" s="61"/>
      <c r="P2" s="61"/>
    </row>
    <row r="3" spans="1:16" ht="35.1" customHeight="1" x14ac:dyDescent="0.35">
      <c r="B3" s="78" t="s">
        <v>203</v>
      </c>
      <c r="C3" s="97"/>
      <c r="D3" s="80" t="s">
        <v>204</v>
      </c>
      <c r="E3" s="80"/>
      <c r="F3" s="80"/>
      <c r="G3" s="80"/>
      <c r="H3" s="200"/>
      <c r="I3" s="200"/>
      <c r="J3" s="200"/>
      <c r="K3" s="200"/>
      <c r="L3" s="115" t="s">
        <v>120</v>
      </c>
      <c r="M3" s="566">
        <v>0</v>
      </c>
    </row>
    <row r="4" spans="1:16" ht="35.1" customHeight="1" x14ac:dyDescent="0.35">
      <c r="B4" s="77"/>
      <c r="C4" s="77"/>
      <c r="D4" s="77"/>
      <c r="E4" s="77"/>
      <c r="F4" s="77"/>
      <c r="G4" s="98"/>
      <c r="H4" s="77"/>
      <c r="I4" s="77"/>
      <c r="J4" s="77"/>
      <c r="K4" s="77"/>
      <c r="L4" s="123" t="s">
        <v>168</v>
      </c>
      <c r="M4" s="567">
        <f>'2) Project Crash Data'!L32</f>
        <v>0</v>
      </c>
    </row>
    <row r="5" spans="1:16" ht="35.1" customHeight="1" x14ac:dyDescent="0.35">
      <c r="B5" s="640" t="s">
        <v>186</v>
      </c>
      <c r="C5" s="640"/>
      <c r="D5" s="640"/>
      <c r="E5" s="640"/>
      <c r="F5" s="640"/>
      <c r="G5" s="640"/>
      <c r="H5" s="640"/>
      <c r="I5" s="640"/>
      <c r="J5" s="111"/>
      <c r="K5" s="111"/>
      <c r="L5" s="123" t="s">
        <v>171</v>
      </c>
      <c r="M5" s="568">
        <f>'2) Project Crash Data'!J38</f>
        <v>0</v>
      </c>
    </row>
    <row r="6" spans="1:16" ht="15" x14ac:dyDescent="0.25">
      <c r="A6" s="61"/>
      <c r="B6" s="61"/>
      <c r="C6" s="61"/>
      <c r="D6" s="61"/>
      <c r="E6" s="61"/>
      <c r="F6" s="61"/>
      <c r="G6" s="61"/>
      <c r="H6" s="61"/>
      <c r="I6" s="61"/>
      <c r="J6" s="61"/>
      <c r="K6" s="61"/>
    </row>
    <row r="7" spans="1:16" ht="15" hidden="1" customHeight="1" x14ac:dyDescent="0.25">
      <c r="A7" s="61"/>
      <c r="B7" s="61"/>
      <c r="C7" s="90" t="s">
        <v>27</v>
      </c>
      <c r="D7" s="90" t="s">
        <v>28</v>
      </c>
      <c r="E7" s="61"/>
      <c r="F7" s="61"/>
      <c r="G7" s="61"/>
      <c r="H7" s="61"/>
      <c r="I7" s="61"/>
      <c r="J7" s="61"/>
      <c r="K7" s="61"/>
    </row>
    <row r="8" spans="1:16" ht="15" hidden="1" customHeight="1" x14ac:dyDescent="0.25">
      <c r="A8" s="61"/>
      <c r="B8" s="61"/>
      <c r="C8" s="99">
        <v>1</v>
      </c>
      <c r="D8" s="92">
        <f>IF(C8&lt;='1) Project Information'!D$14,(1/(1+(IF('1) Project Information'!$E$17&gt;0,'1) Project Information'!$E$17,'1) Project Information'!$D$17)))^C8)*'Crash Benefits'!$E$67,0)</f>
        <v>0</v>
      </c>
      <c r="E8" s="61"/>
      <c r="F8" s="61"/>
      <c r="G8" s="61"/>
      <c r="H8" s="61"/>
      <c r="I8" s="61"/>
      <c r="J8" s="61"/>
      <c r="K8" s="61"/>
    </row>
    <row r="9" spans="1:16" ht="15" hidden="1" customHeight="1" x14ac:dyDescent="0.25">
      <c r="A9" s="61"/>
      <c r="B9" s="61"/>
      <c r="C9" s="99">
        <v>2</v>
      </c>
      <c r="D9" s="92">
        <f>IF(C9&lt;='1) Project Information'!D$14,(1/(1+(IF('1) Project Information'!$E$17&gt;0,'1) Project Information'!$E$17,'1) Project Information'!$D$17)))^C9)*'Crash Benefits'!$E$67,0)</f>
        <v>0</v>
      </c>
      <c r="E9" s="61"/>
      <c r="F9" s="61"/>
      <c r="G9" s="61"/>
      <c r="H9" s="61"/>
      <c r="I9" s="61"/>
      <c r="J9" s="61"/>
      <c r="K9" s="61"/>
    </row>
    <row r="10" spans="1:16" ht="15" hidden="1" customHeight="1" x14ac:dyDescent="0.25">
      <c r="A10" s="61"/>
      <c r="B10" s="61"/>
      <c r="C10" s="99">
        <v>3</v>
      </c>
      <c r="D10" s="92">
        <f>IF(C10&lt;='1) Project Information'!D$14,(1/(1+(IF('1) Project Information'!$E$17&gt;0,'1) Project Information'!$E$17,'1) Project Information'!$D$17)))^C10)*'Crash Benefits'!$E$67,0)</f>
        <v>0</v>
      </c>
      <c r="E10" s="61"/>
      <c r="F10" s="61"/>
      <c r="G10" s="61"/>
      <c r="H10" s="61"/>
      <c r="I10" s="61"/>
      <c r="J10" s="61"/>
      <c r="K10" s="61"/>
    </row>
    <row r="11" spans="1:16" ht="15" hidden="1" customHeight="1" x14ac:dyDescent="0.25">
      <c r="A11" s="61"/>
      <c r="B11" s="61"/>
      <c r="C11" s="99">
        <v>4</v>
      </c>
      <c r="D11" s="92">
        <f>IF(C11&lt;='1) Project Information'!D$14,(1/(1+(IF('1) Project Information'!$E$17&gt;0,'1) Project Information'!$E$17,'1) Project Information'!$D$17)))^C11)*'Crash Benefits'!$E$67,0)</f>
        <v>0</v>
      </c>
      <c r="E11" s="61"/>
      <c r="F11" s="61"/>
      <c r="G11" s="61"/>
      <c r="H11" s="61"/>
      <c r="I11" s="61"/>
      <c r="J11" s="61"/>
      <c r="K11" s="61"/>
    </row>
    <row r="12" spans="1:16" ht="15" hidden="1" customHeight="1" x14ac:dyDescent="0.25">
      <c r="A12" s="61"/>
      <c r="B12" s="61"/>
      <c r="C12" s="99">
        <v>5</v>
      </c>
      <c r="D12" s="92">
        <f>IF(C12&lt;='1) Project Information'!D$14,(1/(1+(IF('1) Project Information'!$E$17&gt;0,'1) Project Information'!$E$17,'1) Project Information'!$D$17)))^C12)*'Crash Benefits'!$E$67,0)</f>
        <v>0</v>
      </c>
      <c r="E12" s="61"/>
      <c r="F12" s="61"/>
      <c r="G12" s="61"/>
      <c r="H12" s="61"/>
      <c r="I12" s="61"/>
      <c r="J12" s="61"/>
      <c r="K12" s="61"/>
    </row>
    <row r="13" spans="1:16" ht="15" hidden="1" customHeight="1" x14ac:dyDescent="0.25">
      <c r="A13" s="61"/>
      <c r="B13" s="61"/>
      <c r="C13" s="99">
        <v>6</v>
      </c>
      <c r="D13" s="92">
        <f>IF(C13&lt;='1) Project Information'!D$14,(1/(1+(IF('1) Project Information'!$E$17&gt;0,'1) Project Information'!$E$17,'1) Project Information'!$D$17)))^C13)*'Crash Benefits'!$E$67,0)</f>
        <v>0</v>
      </c>
      <c r="E13" s="61"/>
      <c r="F13" s="61"/>
      <c r="G13" s="61"/>
      <c r="H13" s="61"/>
      <c r="I13" s="61"/>
      <c r="J13" s="61"/>
      <c r="K13" s="61"/>
    </row>
    <row r="14" spans="1:16" ht="15" hidden="1" customHeight="1" x14ac:dyDescent="0.25">
      <c r="A14" s="61"/>
      <c r="B14" s="61"/>
      <c r="C14" s="99">
        <v>7</v>
      </c>
      <c r="D14" s="92">
        <f>IF(C14&lt;='1) Project Information'!D$14,(1/(1+(IF('1) Project Information'!$E$17&gt;0,'1) Project Information'!$E$17,'1) Project Information'!$D$17)))^C14)*'Crash Benefits'!$E$67,0)</f>
        <v>0</v>
      </c>
      <c r="E14" s="61"/>
      <c r="F14" s="61"/>
      <c r="G14" s="61"/>
      <c r="H14" s="61"/>
      <c r="I14" s="61"/>
      <c r="J14" s="61"/>
      <c r="K14" s="61"/>
    </row>
    <row r="15" spans="1:16" ht="15" hidden="1" customHeight="1" x14ac:dyDescent="0.25">
      <c r="A15" s="61"/>
      <c r="B15" s="61"/>
      <c r="C15" s="99">
        <v>8</v>
      </c>
      <c r="D15" s="92">
        <f>IF(C15&lt;='1) Project Information'!D$14,(1/(1+(IF('1) Project Information'!$E$17&gt;0,'1) Project Information'!$E$17,'1) Project Information'!$D$17)))^C15)*'Crash Benefits'!$E$67,0)</f>
        <v>0</v>
      </c>
      <c r="E15" s="61"/>
      <c r="F15" s="61"/>
      <c r="G15" s="61"/>
      <c r="H15" s="61"/>
      <c r="I15" s="61"/>
      <c r="J15" s="61"/>
      <c r="K15" s="61"/>
    </row>
    <row r="16" spans="1:16" ht="15" hidden="1" customHeight="1" x14ac:dyDescent="0.25">
      <c r="A16" s="61"/>
      <c r="B16" s="61"/>
      <c r="C16" s="99">
        <v>9</v>
      </c>
      <c r="D16" s="92">
        <f>IF(C16&lt;='1) Project Information'!D$14,(1/(1+(IF('1) Project Information'!$E$17&gt;0,'1) Project Information'!$E$17,'1) Project Information'!$D$17)))^C16)*'Crash Benefits'!$E$67,0)</f>
        <v>0</v>
      </c>
      <c r="E16" s="61"/>
      <c r="F16" s="61"/>
      <c r="G16" s="61"/>
      <c r="H16" s="61"/>
      <c r="I16" s="61"/>
      <c r="J16" s="61"/>
      <c r="K16" s="61"/>
    </row>
    <row r="17" spans="1:11" ht="15" hidden="1" customHeight="1" x14ac:dyDescent="0.25">
      <c r="A17" s="61"/>
      <c r="B17" s="61"/>
      <c r="C17" s="99">
        <v>10</v>
      </c>
      <c r="D17" s="92">
        <f>IF(C17&lt;='1) Project Information'!D$14,(1/(1+(IF('1) Project Information'!$E$17&gt;0,'1) Project Information'!$E$17,'1) Project Information'!$D$17)))^C17)*'Crash Benefits'!$E$67,0)</f>
        <v>0</v>
      </c>
      <c r="E17" s="61"/>
      <c r="F17" s="61"/>
      <c r="G17" s="61"/>
      <c r="H17" s="61"/>
      <c r="I17" s="61"/>
      <c r="J17" s="61"/>
      <c r="K17" s="61"/>
    </row>
    <row r="18" spans="1:11" ht="15" hidden="1" customHeight="1" x14ac:dyDescent="0.25">
      <c r="C18" s="99">
        <v>11</v>
      </c>
      <c r="D18" s="92">
        <f>IF(C18&lt;='1) Project Information'!D$14,(1/(1+(IF('1) Project Information'!$E$17&gt;0,'1) Project Information'!$E$17,'1) Project Information'!$D$17)))^C18)*'Crash Benefits'!$E$67,0)</f>
        <v>0</v>
      </c>
      <c r="E18" s="61"/>
    </row>
    <row r="19" spans="1:11" ht="15" hidden="1" customHeight="1" x14ac:dyDescent="0.25">
      <c r="A19" s="61"/>
      <c r="B19" s="61"/>
      <c r="C19" s="99">
        <v>12</v>
      </c>
      <c r="D19" s="92">
        <f>IF(C19&lt;='1) Project Information'!D$14,(1/(1+(IF('1) Project Information'!$E$17&gt;0,'1) Project Information'!$E$17,'1) Project Information'!$D$17)))^C19)*'Crash Benefits'!$E$67,0)</f>
        <v>0</v>
      </c>
      <c r="E19" s="61"/>
      <c r="F19" s="61"/>
      <c r="G19" s="61"/>
      <c r="H19" s="61"/>
      <c r="I19" s="61"/>
      <c r="J19" s="61"/>
    </row>
    <row r="20" spans="1:11" ht="15" hidden="1" customHeight="1" x14ac:dyDescent="0.25">
      <c r="A20" s="61"/>
      <c r="B20" s="61"/>
      <c r="C20" s="99">
        <v>13</v>
      </c>
      <c r="D20" s="92">
        <f>IF(C20&lt;='1) Project Information'!D$14,(1/(1+(IF('1) Project Information'!$E$17&gt;0,'1) Project Information'!$E$17,'1) Project Information'!$D$17)))^C20)*'Crash Benefits'!$E$67,0)</f>
        <v>0</v>
      </c>
      <c r="E20" s="61"/>
      <c r="F20" s="61"/>
      <c r="G20" s="61"/>
      <c r="H20" s="61"/>
      <c r="I20" s="61"/>
      <c r="J20" s="61"/>
    </row>
    <row r="21" spans="1:11" ht="15" hidden="1" customHeight="1" x14ac:dyDescent="0.25">
      <c r="A21" s="61"/>
      <c r="B21" s="61"/>
      <c r="C21" s="99">
        <v>14</v>
      </c>
      <c r="D21" s="92">
        <f>IF(C21&lt;='1) Project Information'!D$14,(1/(1+(IF('1) Project Information'!$E$17&gt;0,'1) Project Information'!$E$17,'1) Project Information'!$D$17)))^C21)*'Crash Benefits'!$E$67,0)</f>
        <v>0</v>
      </c>
      <c r="E21" s="61"/>
      <c r="F21" s="61"/>
      <c r="G21" s="61"/>
      <c r="H21" s="61"/>
      <c r="I21" s="61"/>
      <c r="J21" s="61"/>
    </row>
    <row r="22" spans="1:11" ht="15" hidden="1" customHeight="1" x14ac:dyDescent="0.25">
      <c r="A22" s="61"/>
      <c r="B22" s="61"/>
      <c r="C22" s="99">
        <v>15</v>
      </c>
      <c r="D22" s="92">
        <f>IF(C22&lt;='1) Project Information'!D$14,(1/(1+(IF('1) Project Information'!$E$17&gt;0,'1) Project Information'!$E$17,'1) Project Information'!$D$17)))^C22)*'Crash Benefits'!$E$67,0)</f>
        <v>0</v>
      </c>
      <c r="E22" s="61"/>
      <c r="F22" s="61"/>
      <c r="G22" s="61"/>
      <c r="H22" s="61"/>
      <c r="I22" s="61"/>
      <c r="J22" s="61"/>
    </row>
    <row r="23" spans="1:11" ht="15" hidden="1" customHeight="1" x14ac:dyDescent="0.25">
      <c r="A23" s="61"/>
      <c r="B23" s="61"/>
      <c r="C23" s="99">
        <v>16</v>
      </c>
      <c r="D23" s="92">
        <f>IF(C23&lt;='1) Project Information'!D$14,(1/(1+(IF('1) Project Information'!$E$17&gt;0,'1) Project Information'!$E$17,'1) Project Information'!$D$17)))^C23)*'Crash Benefits'!$E$67,0)</f>
        <v>0</v>
      </c>
      <c r="E23" s="61"/>
      <c r="F23" s="61"/>
      <c r="G23" s="61"/>
      <c r="H23" s="61"/>
      <c r="I23" s="61"/>
      <c r="J23" s="61"/>
    </row>
    <row r="24" spans="1:11" ht="15" hidden="1" customHeight="1" x14ac:dyDescent="0.25">
      <c r="A24" s="61"/>
      <c r="B24" s="61"/>
      <c r="C24" s="99">
        <v>17</v>
      </c>
      <c r="D24" s="92">
        <f>IF(C24&lt;='1) Project Information'!D$14,(1/(1+(IF('1) Project Information'!$E$17&gt;0,'1) Project Information'!$E$17,'1) Project Information'!$D$17)))^C24)*'Crash Benefits'!$E$67,0)</f>
        <v>0</v>
      </c>
      <c r="E24" s="61"/>
      <c r="F24" s="61"/>
      <c r="G24" s="61"/>
      <c r="H24" s="61"/>
      <c r="I24" s="61"/>
      <c r="J24" s="61"/>
    </row>
    <row r="25" spans="1:11" ht="15" hidden="1" customHeight="1" x14ac:dyDescent="0.25">
      <c r="A25" s="61"/>
      <c r="B25" s="61"/>
      <c r="C25" s="99">
        <v>18</v>
      </c>
      <c r="D25" s="92">
        <f>IF(C25&lt;='1) Project Information'!D$14,(1/(1+(IF('1) Project Information'!$E$17&gt;0,'1) Project Information'!$E$17,'1) Project Information'!$D$17)))^C25)*'Crash Benefits'!$E$67,0)</f>
        <v>0</v>
      </c>
      <c r="E25" s="61"/>
      <c r="F25" s="61"/>
      <c r="G25" s="61"/>
      <c r="H25" s="61"/>
      <c r="I25" s="61"/>
      <c r="J25" s="61"/>
    </row>
    <row r="26" spans="1:11" ht="15" hidden="1" customHeight="1" x14ac:dyDescent="0.25">
      <c r="A26" s="61"/>
      <c r="B26" s="61"/>
      <c r="C26" s="99">
        <v>19</v>
      </c>
      <c r="D26" s="92">
        <f>IF(C26&lt;='1) Project Information'!D$14,(1/(1+(IF('1) Project Information'!$E$17&gt;0,'1) Project Information'!$E$17,'1) Project Information'!$D$17)))^C26)*'Crash Benefits'!$E$67,0)</f>
        <v>0</v>
      </c>
      <c r="E26" s="61"/>
      <c r="F26" s="61"/>
      <c r="G26" s="61"/>
      <c r="H26" s="61"/>
      <c r="I26" s="61"/>
      <c r="J26" s="61"/>
    </row>
    <row r="27" spans="1:11" ht="15" hidden="1" customHeight="1" x14ac:dyDescent="0.25">
      <c r="A27" s="61"/>
      <c r="B27" s="61"/>
      <c r="C27" s="99">
        <v>20</v>
      </c>
      <c r="D27" s="92">
        <f>IF(C27&lt;='1) Project Information'!D$14,(1/(1+(IF('1) Project Information'!$E$17&gt;0,'1) Project Information'!$E$17,'1) Project Information'!$D$17)))^C27)*'Crash Benefits'!$E$67,0)</f>
        <v>0</v>
      </c>
      <c r="E27" s="61"/>
      <c r="F27" s="61"/>
      <c r="G27" s="61"/>
      <c r="H27" s="61"/>
      <c r="I27" s="61"/>
      <c r="J27" s="61"/>
    </row>
    <row r="28" spans="1:11" ht="15" hidden="1" customHeight="1" x14ac:dyDescent="0.25">
      <c r="A28" s="61"/>
      <c r="B28" s="61"/>
      <c r="C28" s="99">
        <v>21</v>
      </c>
      <c r="D28" s="92">
        <f>IF(C28&lt;='1) Project Information'!D$14,(1/(1+(IF('1) Project Information'!$E$17&gt;0,'1) Project Information'!$E$17,'1) Project Information'!$D$17)))^C28)*'Crash Benefits'!$E$67,0)</f>
        <v>0</v>
      </c>
      <c r="E28" s="61"/>
      <c r="F28" s="61"/>
      <c r="G28" s="61"/>
      <c r="H28" s="61"/>
      <c r="I28" s="61"/>
      <c r="J28" s="61"/>
    </row>
    <row r="29" spans="1:11" ht="15" hidden="1" customHeight="1" x14ac:dyDescent="0.25">
      <c r="A29" s="61"/>
      <c r="B29" s="61"/>
      <c r="C29" s="99">
        <v>22</v>
      </c>
      <c r="D29" s="92">
        <f>IF(C29&lt;='1) Project Information'!D$14,(1/(1+(IF('1) Project Information'!$E$17&gt;0,'1) Project Information'!$E$17,'1) Project Information'!$D$17)))^C29)*'Crash Benefits'!$E$67,0)</f>
        <v>0</v>
      </c>
      <c r="E29" s="61"/>
      <c r="F29" s="61"/>
      <c r="G29" s="61"/>
      <c r="H29" s="61"/>
      <c r="I29" s="61"/>
      <c r="J29" s="61"/>
    </row>
    <row r="30" spans="1:11" ht="15" hidden="1" customHeight="1" x14ac:dyDescent="0.25">
      <c r="A30" s="61"/>
      <c r="B30" s="61"/>
      <c r="C30" s="99">
        <v>23</v>
      </c>
      <c r="D30" s="92">
        <f>IF(C30&lt;='1) Project Information'!D$14,(1/(1+(IF('1) Project Information'!$E$17&gt;0,'1) Project Information'!$E$17,'1) Project Information'!$D$17)))^C30)*'Crash Benefits'!$E$67,0)</f>
        <v>0</v>
      </c>
      <c r="E30" s="61"/>
      <c r="F30" s="61"/>
      <c r="G30" s="61"/>
      <c r="H30" s="61"/>
      <c r="I30" s="61"/>
      <c r="J30" s="61"/>
    </row>
    <row r="31" spans="1:11" ht="15" hidden="1" customHeight="1" x14ac:dyDescent="0.25">
      <c r="A31" s="61"/>
      <c r="B31" s="61"/>
      <c r="C31" s="99">
        <v>24</v>
      </c>
      <c r="D31" s="92">
        <f>IF(C31&lt;='1) Project Information'!D$14,(1/(1+(IF('1) Project Information'!$E$17&gt;0,'1) Project Information'!$E$17,'1) Project Information'!$D$17)))^C31)*'Crash Benefits'!$E$67,0)</f>
        <v>0</v>
      </c>
      <c r="E31" s="61"/>
      <c r="F31" s="61"/>
      <c r="G31" s="61"/>
      <c r="H31" s="61"/>
      <c r="I31" s="61"/>
      <c r="J31" s="61"/>
    </row>
    <row r="32" spans="1:11" ht="15" hidden="1" customHeight="1" x14ac:dyDescent="0.25">
      <c r="A32" s="61"/>
      <c r="B32" s="61"/>
      <c r="C32" s="99">
        <v>25</v>
      </c>
      <c r="D32" s="92">
        <f>IF(C32&lt;='1) Project Information'!D$14,(1/(1+(IF('1) Project Information'!$E$17&gt;0,'1) Project Information'!$E$17,'1) Project Information'!$D$17)))^C32)*'Crash Benefits'!$E$67,0)</f>
        <v>0</v>
      </c>
      <c r="E32" s="61"/>
      <c r="F32" s="61"/>
      <c r="G32" s="61"/>
      <c r="H32" s="61"/>
      <c r="I32" s="61"/>
      <c r="J32" s="61"/>
    </row>
    <row r="33" spans="1:10" ht="15" hidden="1" customHeight="1" x14ac:dyDescent="0.25">
      <c r="A33" s="61"/>
      <c r="B33" s="61"/>
      <c r="C33" s="99">
        <v>26</v>
      </c>
      <c r="D33" s="92">
        <f>IF(C33&lt;='1) Project Information'!D$14,(1/(1+(IF('1) Project Information'!$E$17&gt;0,'1) Project Information'!$E$17,'1) Project Information'!$D$17)))^C33)*'Crash Benefits'!$E$67,0)</f>
        <v>0</v>
      </c>
      <c r="E33" s="61"/>
      <c r="F33" s="61"/>
      <c r="G33" s="61"/>
      <c r="H33" s="61"/>
      <c r="I33" s="61"/>
      <c r="J33" s="61"/>
    </row>
    <row r="34" spans="1:10" ht="15" hidden="1" customHeight="1" x14ac:dyDescent="0.25">
      <c r="A34" s="61"/>
      <c r="B34" s="61"/>
      <c r="C34" s="99">
        <v>27</v>
      </c>
      <c r="D34" s="92">
        <f>IF(C34&lt;='1) Project Information'!D$14,(1/(1+(IF('1) Project Information'!$E$17&gt;0,'1) Project Information'!$E$17,'1) Project Information'!$D$17)))^C34)*'Crash Benefits'!$E$67,0)</f>
        <v>0</v>
      </c>
      <c r="E34" s="61"/>
      <c r="F34" s="61"/>
      <c r="G34" s="61"/>
      <c r="H34" s="61"/>
      <c r="I34" s="61"/>
      <c r="J34" s="61"/>
    </row>
    <row r="35" spans="1:10" ht="15" hidden="1" customHeight="1" x14ac:dyDescent="0.25">
      <c r="A35" s="61"/>
      <c r="B35" s="61"/>
      <c r="C35" s="99">
        <v>28</v>
      </c>
      <c r="D35" s="92">
        <f>IF(C35&lt;='1) Project Information'!D$14,(1/(1+(IF('1) Project Information'!$E$17&gt;0,'1) Project Information'!$E$17,'1) Project Information'!$D$17)))^C35)*'Crash Benefits'!$E$67,0)</f>
        <v>0</v>
      </c>
      <c r="E35" s="61"/>
      <c r="F35" s="61"/>
      <c r="G35" s="61"/>
      <c r="H35" s="61"/>
      <c r="I35" s="61"/>
      <c r="J35" s="61"/>
    </row>
    <row r="36" spans="1:10" ht="15" hidden="1" customHeight="1" x14ac:dyDescent="0.25">
      <c r="A36" s="61"/>
      <c r="B36" s="61"/>
      <c r="C36" s="99">
        <v>29</v>
      </c>
      <c r="D36" s="92">
        <f>IF(C36&lt;='1) Project Information'!D$14,(1/(1+(IF('1) Project Information'!$E$17&gt;0,'1) Project Information'!$E$17,'1) Project Information'!$D$17)))^C36)*'Crash Benefits'!$E$67,0)</f>
        <v>0</v>
      </c>
      <c r="E36" s="61"/>
      <c r="F36" s="61"/>
      <c r="G36" s="61"/>
      <c r="H36" s="61"/>
      <c r="I36" s="61"/>
      <c r="J36" s="61"/>
    </row>
    <row r="37" spans="1:10" ht="15" hidden="1" customHeight="1" x14ac:dyDescent="0.25">
      <c r="A37" s="61"/>
      <c r="B37" s="61"/>
      <c r="C37" s="99">
        <v>30</v>
      </c>
      <c r="D37" s="92">
        <f>IF(C37&lt;='1) Project Information'!D$14,(1/(1+(IF('1) Project Information'!$E$17&gt;0,'1) Project Information'!$E$17,'1) Project Information'!$D$17)))^C37)*'Crash Benefits'!$E$67,0)</f>
        <v>0</v>
      </c>
      <c r="E37" s="61"/>
      <c r="F37" s="61"/>
      <c r="G37" s="61"/>
      <c r="H37" s="61"/>
      <c r="I37" s="61"/>
      <c r="J37" s="61"/>
    </row>
    <row r="38" spans="1:10" ht="15" hidden="1" customHeight="1" x14ac:dyDescent="0.25">
      <c r="A38" s="61"/>
      <c r="B38" s="61"/>
      <c r="C38" s="99">
        <v>31</v>
      </c>
      <c r="D38" s="92">
        <f>IF(C38&lt;='1) Project Information'!D$14,(1/(1+(IF('1) Project Information'!$E$17&gt;0,'1) Project Information'!$E$17,'1) Project Information'!$D$17)))^C38)*'Crash Benefits'!$E$67,0)</f>
        <v>0</v>
      </c>
      <c r="E38" s="61"/>
      <c r="F38" s="61"/>
      <c r="G38" s="61"/>
      <c r="H38" s="61"/>
      <c r="I38" s="61"/>
      <c r="J38" s="61"/>
    </row>
    <row r="39" spans="1:10" ht="15" hidden="1" customHeight="1" x14ac:dyDescent="0.25">
      <c r="A39" s="61"/>
      <c r="B39" s="61"/>
      <c r="C39" s="99">
        <v>32</v>
      </c>
      <c r="D39" s="92">
        <f>IF(C39&lt;='1) Project Information'!D$14,(1/(1+(IF('1) Project Information'!$E$17&gt;0,'1) Project Information'!$E$17,'1) Project Information'!$D$17)))^C39)*'Crash Benefits'!$E$67,0)</f>
        <v>0</v>
      </c>
      <c r="E39" s="61"/>
      <c r="F39" s="61"/>
      <c r="G39" s="61"/>
      <c r="H39" s="61"/>
      <c r="I39" s="61"/>
      <c r="J39" s="61"/>
    </row>
    <row r="40" spans="1:10" ht="15" hidden="1" customHeight="1" x14ac:dyDescent="0.2">
      <c r="C40" s="99">
        <v>33</v>
      </c>
      <c r="D40" s="92">
        <f>IF(C40&lt;='1) Project Information'!D$14,(1/(1+(IF('1) Project Information'!$E$17&gt;0,'1) Project Information'!$E$17,'1) Project Information'!$D$17)))^C40)*'Crash Benefits'!$E$67,0)</f>
        <v>0</v>
      </c>
    </row>
    <row r="41" spans="1:10" ht="15" hidden="1" customHeight="1" x14ac:dyDescent="0.2">
      <c r="C41" s="99">
        <v>34</v>
      </c>
      <c r="D41" s="92">
        <f>IF(C41&lt;='1) Project Information'!D$14,(1/(1+(IF('1) Project Information'!$E$17&gt;0,'1) Project Information'!$E$17,'1) Project Information'!$D$17)))^C41)*'Crash Benefits'!$E$67,0)</f>
        <v>0</v>
      </c>
    </row>
    <row r="42" spans="1:10" ht="15" hidden="1" customHeight="1" x14ac:dyDescent="0.2">
      <c r="C42" s="99">
        <v>35</v>
      </c>
      <c r="D42" s="92">
        <f>IF(C42&lt;='1) Project Information'!D$14,(1/(1+(IF('1) Project Information'!$E$17&gt;0,'1) Project Information'!$E$17,'1) Project Information'!$D$17)))^C42)*'Crash Benefits'!$E$67,0)</f>
        <v>0</v>
      </c>
    </row>
    <row r="43" spans="1:10" ht="15" hidden="1" customHeight="1" x14ac:dyDescent="0.2">
      <c r="C43" s="99">
        <v>36</v>
      </c>
      <c r="D43" s="92">
        <f>IF(C43&lt;='1) Project Information'!D$14,(1/(1+(IF('1) Project Information'!$E$17&gt;0,'1) Project Information'!$E$17,'1) Project Information'!$D$17)))^C43)*'Crash Benefits'!$E$67,0)</f>
        <v>0</v>
      </c>
    </row>
    <row r="44" spans="1:10" ht="15" hidden="1" customHeight="1" x14ac:dyDescent="0.2">
      <c r="C44" s="99">
        <v>37</v>
      </c>
      <c r="D44" s="92">
        <f>IF(C44&lt;='1) Project Information'!D$14,(1/(1+(IF('1) Project Information'!$E$17&gt;0,'1) Project Information'!$E$17,'1) Project Information'!$D$17)))^C44)*'Crash Benefits'!$E$67,0)</f>
        <v>0</v>
      </c>
    </row>
    <row r="45" spans="1:10" ht="15" hidden="1" customHeight="1" x14ac:dyDescent="0.2">
      <c r="C45" s="99">
        <v>38</v>
      </c>
      <c r="D45" s="92">
        <f>IF(C45&lt;='1) Project Information'!D$14,(1/(1+(IF('1) Project Information'!$E$17&gt;0,'1) Project Information'!$E$17,'1) Project Information'!$D$17)))^C45)*'Crash Benefits'!$E$67,0)</f>
        <v>0</v>
      </c>
    </row>
    <row r="46" spans="1:10" ht="15" hidden="1" customHeight="1" x14ac:dyDescent="0.2">
      <c r="C46" s="99">
        <v>39</v>
      </c>
      <c r="D46" s="92">
        <f>IF(C46&lt;='1) Project Information'!D$14,(1/(1+(IF('1) Project Information'!$E$17&gt;0,'1) Project Information'!$E$17,'1) Project Information'!$D$17)))^C46)*'Crash Benefits'!$E$67,0)</f>
        <v>0</v>
      </c>
    </row>
    <row r="47" spans="1:10" ht="15" hidden="1" customHeight="1" x14ac:dyDescent="0.2">
      <c r="C47" s="99">
        <v>40</v>
      </c>
      <c r="D47" s="92">
        <f>IF(C47&lt;='1) Project Information'!D$14,(1/(1+(IF('1) Project Information'!$E$17&gt;0,'1) Project Information'!$E$17,'1) Project Information'!$D$17)))^C47)*'Crash Benefits'!$E$67,0)</f>
        <v>0</v>
      </c>
    </row>
    <row r="48" spans="1:10" ht="15" hidden="1" customHeight="1" x14ac:dyDescent="0.2">
      <c r="C48" s="99">
        <v>41</v>
      </c>
      <c r="D48" s="92">
        <f>IF(C48&lt;='1) Project Information'!D$14,(1/(1+(IF('1) Project Information'!$E$17&gt;0,'1) Project Information'!$E$17,'1) Project Information'!$D$17)))^C48)*'Crash Benefits'!$E$67,0)</f>
        <v>0</v>
      </c>
    </row>
    <row r="49" spans="2:13" ht="15" hidden="1" customHeight="1" x14ac:dyDescent="0.2">
      <c r="C49" s="99">
        <v>42</v>
      </c>
      <c r="D49" s="92">
        <f>IF(C49&lt;='1) Project Information'!D$14,(1/(1+(IF('1) Project Information'!$E$17&gt;0,'1) Project Information'!$E$17,'1) Project Information'!$D$17)))^C49)*'Crash Benefits'!$E$67,0)</f>
        <v>0</v>
      </c>
    </row>
    <row r="50" spans="2:13" ht="15" hidden="1" customHeight="1" x14ac:dyDescent="0.2">
      <c r="C50" s="99">
        <v>43</v>
      </c>
      <c r="D50" s="92">
        <f>IF(C50&lt;='1) Project Information'!D$14,(1/(1+(IF('1) Project Information'!$E$17&gt;0,'1) Project Information'!$E$17,'1) Project Information'!$D$17)))^C50)*'Crash Benefits'!$E$67,0)</f>
        <v>0</v>
      </c>
    </row>
    <row r="51" spans="2:13" ht="15" hidden="1" customHeight="1" x14ac:dyDescent="0.2">
      <c r="C51" s="99">
        <v>44</v>
      </c>
      <c r="D51" s="92">
        <f>IF(C51&lt;='1) Project Information'!D$14,(1/(1+(IF('1) Project Information'!$E$17&gt;0,'1) Project Information'!$E$17,'1) Project Information'!$D$17)))^C51)*'Crash Benefits'!$E$67,0)</f>
        <v>0</v>
      </c>
    </row>
    <row r="52" spans="2:13" ht="15" hidden="1" customHeight="1" x14ac:dyDescent="0.2">
      <c r="C52" s="99">
        <v>45</v>
      </c>
      <c r="D52" s="92">
        <f>IF(C52&lt;='1) Project Information'!D$14,(1/(1+(IF('1) Project Information'!$E$17&gt;0,'1) Project Information'!$E$17,'1) Project Information'!$D$17)))^C52)*'Crash Benefits'!$E$67,0)</f>
        <v>0</v>
      </c>
    </row>
    <row r="53" spans="2:13" ht="15" hidden="1" customHeight="1" x14ac:dyDescent="0.2">
      <c r="C53" s="99">
        <v>46</v>
      </c>
      <c r="D53" s="92">
        <f>IF(C53&lt;='1) Project Information'!D$14,(1/(1+(IF('1) Project Information'!$E$17&gt;0,'1) Project Information'!$E$17,'1) Project Information'!$D$17)))^C53)*'Crash Benefits'!$E$67,0)</f>
        <v>0</v>
      </c>
    </row>
    <row r="54" spans="2:13" ht="15" hidden="1" customHeight="1" x14ac:dyDescent="0.2">
      <c r="C54" s="99">
        <v>47</v>
      </c>
      <c r="D54" s="92">
        <f>IF(C54&lt;='1) Project Information'!D$14,(1/(1+(IF('1) Project Information'!$E$17&gt;0,'1) Project Information'!$E$17,'1) Project Information'!$D$17)))^C54)*'Crash Benefits'!$E$67,0)</f>
        <v>0</v>
      </c>
    </row>
    <row r="55" spans="2:13" ht="15" hidden="1" customHeight="1" x14ac:dyDescent="0.2">
      <c r="C55" s="99">
        <v>48</v>
      </c>
      <c r="D55" s="92">
        <f>IF(C55&lt;='1) Project Information'!D$14,(1/(1+(IF('1) Project Information'!$E$17&gt;0,'1) Project Information'!$E$17,'1) Project Information'!$D$17)))^C55)*'Crash Benefits'!$E$67,0)</f>
        <v>0</v>
      </c>
    </row>
    <row r="56" spans="2:13" ht="15" hidden="1" customHeight="1" x14ac:dyDescent="0.2">
      <c r="C56" s="99">
        <v>49</v>
      </c>
      <c r="D56" s="92">
        <f>IF(C56&lt;='1) Project Information'!D$14,(1/(1+(IF('1) Project Information'!$E$17&gt;0,'1) Project Information'!$E$17,'1) Project Information'!$D$17)))^C56)*'Crash Benefits'!$E$67,0)</f>
        <v>0</v>
      </c>
    </row>
    <row r="57" spans="2:13" ht="15" hidden="1" customHeight="1" x14ac:dyDescent="0.2">
      <c r="C57" s="99">
        <v>50</v>
      </c>
      <c r="D57" s="92">
        <f>IF(C57&lt;='1) Project Information'!D$14,(1/(1+(IF('1) Project Information'!$E$17&gt;0,'1) Project Information'!$E$17,'1) Project Information'!$D$17)))^C57)*'Crash Benefits'!$E$67,0)</f>
        <v>0</v>
      </c>
    </row>
    <row r="58" spans="2:13" ht="15" hidden="1" customHeight="1" x14ac:dyDescent="0.2">
      <c r="D58" s="100">
        <f>SUM(D8:D57)</f>
        <v>0</v>
      </c>
    </row>
    <row r="59" spans="2:13" x14ac:dyDescent="0.2">
      <c r="B59" s="119"/>
      <c r="C59" s="119"/>
      <c r="D59" s="119"/>
      <c r="E59" s="119"/>
    </row>
    <row r="60" spans="2:13" ht="22.9" customHeight="1" x14ac:dyDescent="0.35">
      <c r="B60" s="199"/>
      <c r="C60" s="201" t="s">
        <v>56</v>
      </c>
      <c r="D60" s="201" t="s">
        <v>57</v>
      </c>
      <c r="E60" s="201" t="s">
        <v>58</v>
      </c>
      <c r="G60" s="119"/>
      <c r="H60" s="119"/>
      <c r="I60" s="119"/>
      <c r="J60" s="119"/>
      <c r="K60" s="119"/>
      <c r="L60" s="119"/>
    </row>
    <row r="61" spans="2:13" ht="63" customHeight="1" x14ac:dyDescent="0.35">
      <c r="B61" s="194" t="s">
        <v>178</v>
      </c>
      <c r="C61" s="194" t="s">
        <v>176</v>
      </c>
      <c r="D61" s="194" t="str">
        <f>Lookup!L7</f>
        <v>Comprehensive Crash Unit Cost</v>
      </c>
      <c r="E61" s="194" t="s">
        <v>79</v>
      </c>
      <c r="F61" s="534"/>
      <c r="G61" s="536"/>
      <c r="H61" s="536"/>
      <c r="I61" s="536"/>
      <c r="J61" s="536"/>
      <c r="K61" s="536"/>
      <c r="L61" s="536"/>
      <c r="M61" s="535"/>
    </row>
    <row r="62" spans="2:13" ht="30" customHeight="1" x14ac:dyDescent="0.35">
      <c r="B62" s="196" t="s">
        <v>13</v>
      </c>
      <c r="C62" s="482">
        <f>IF('2) Project Crash Data'!G32&gt;0,'2) Project Crash Data'!G32,'2) Project Crash Data'!F32)</f>
        <v>0</v>
      </c>
      <c r="D62" s="197">
        <f>Lookup!L8</f>
        <v>11637947</v>
      </c>
      <c r="E62" s="198">
        <f>C62*D62</f>
        <v>0</v>
      </c>
      <c r="F62" s="534"/>
      <c r="G62" s="537"/>
      <c r="H62" s="538"/>
      <c r="I62" s="539"/>
      <c r="J62" s="540"/>
      <c r="K62" s="541"/>
      <c r="L62" s="538"/>
      <c r="M62" s="535"/>
    </row>
    <row r="63" spans="2:13" ht="30" customHeight="1" x14ac:dyDescent="0.35">
      <c r="B63" s="127" t="s">
        <v>12</v>
      </c>
      <c r="C63" s="482">
        <f>IF('2) Project Crash Data'!G33&gt;0,'2) Project Crash Data'!G33,'2) Project Crash Data'!F33)</f>
        <v>0</v>
      </c>
      <c r="D63" s="132">
        <f>Lookup!L9</f>
        <v>674353</v>
      </c>
      <c r="E63" s="126">
        <f>C63*D63</f>
        <v>0</v>
      </c>
      <c r="F63" s="534"/>
      <c r="G63" s="537"/>
      <c r="H63" s="538"/>
      <c r="I63" s="539"/>
      <c r="J63" s="540"/>
      <c r="K63" s="541"/>
      <c r="L63" s="538"/>
      <c r="M63" s="535"/>
    </row>
    <row r="64" spans="2:13" ht="30" customHeight="1" x14ac:dyDescent="0.35">
      <c r="B64" s="127" t="s">
        <v>11</v>
      </c>
      <c r="C64" s="482">
        <f>IF('2) Project Crash Data'!G34&gt;0,'2) Project Crash Data'!G34,'2) Project Crash Data'!F34)</f>
        <v>0</v>
      </c>
      <c r="D64" s="132">
        <f>Lookup!L10</f>
        <v>204143</v>
      </c>
      <c r="E64" s="126">
        <f>C64*D64</f>
        <v>0</v>
      </c>
      <c r="F64" s="534"/>
      <c r="G64" s="537"/>
      <c r="H64" s="538"/>
      <c r="I64" s="539"/>
      <c r="J64" s="540"/>
      <c r="K64" s="541"/>
      <c r="L64" s="538"/>
      <c r="M64" s="535"/>
    </row>
    <row r="65" spans="2:13" ht="30" customHeight="1" x14ac:dyDescent="0.35">
      <c r="B65" s="127" t="s">
        <v>10</v>
      </c>
      <c r="C65" s="482">
        <f>IF('2) Project Crash Data'!G35&gt;0,'2) Project Crash Data'!G35,'2) Project Crash Data'!F35)</f>
        <v>0</v>
      </c>
      <c r="D65" s="132">
        <f>Lookup!L11</f>
        <v>129001</v>
      </c>
      <c r="E65" s="126">
        <f>C65*D65</f>
        <v>0</v>
      </c>
      <c r="F65" s="534"/>
      <c r="G65" s="537"/>
      <c r="H65" s="538"/>
      <c r="I65" s="539"/>
      <c r="J65" s="540"/>
      <c r="K65" s="541"/>
      <c r="L65" s="538"/>
      <c r="M65" s="535"/>
    </row>
    <row r="66" spans="2:13" ht="30" customHeight="1" x14ac:dyDescent="0.35">
      <c r="B66" s="192" t="s">
        <v>9</v>
      </c>
      <c r="C66" s="482">
        <f>IF('2) Project Crash Data'!G36&gt;0,'2) Project Crash Data'!G36,'2) Project Crash Data'!F36)</f>
        <v>0</v>
      </c>
      <c r="D66" s="132">
        <f>Lookup!L12</f>
        <v>12108</v>
      </c>
      <c r="E66" s="193">
        <f>C66*D66</f>
        <v>0</v>
      </c>
      <c r="F66" s="534"/>
      <c r="G66" s="537"/>
      <c r="H66" s="538"/>
      <c r="I66" s="539"/>
      <c r="J66" s="540"/>
      <c r="K66" s="541"/>
      <c r="L66" s="538"/>
      <c r="M66" s="535"/>
    </row>
    <row r="67" spans="2:13" ht="30" customHeight="1" x14ac:dyDescent="0.35">
      <c r="B67" s="194" t="s">
        <v>2</v>
      </c>
      <c r="C67" s="194"/>
      <c r="D67" s="194"/>
      <c r="E67" s="195">
        <f>SUM(E62:E66)</f>
        <v>0</v>
      </c>
      <c r="F67" s="534"/>
      <c r="G67" s="537"/>
      <c r="H67" s="538"/>
      <c r="I67" s="539"/>
      <c r="J67" s="540"/>
      <c r="K67" s="541"/>
      <c r="L67" s="538"/>
      <c r="M67" s="535"/>
    </row>
    <row r="68" spans="2:13" ht="23.25" x14ac:dyDescent="0.35">
      <c r="B68" s="112"/>
      <c r="C68" s="112"/>
      <c r="D68" s="112"/>
      <c r="E68" s="112"/>
      <c r="F68" s="534"/>
      <c r="G68" s="537"/>
      <c r="H68" s="538"/>
      <c r="I68" s="539"/>
      <c r="J68" s="540"/>
      <c r="K68" s="541"/>
      <c r="L68" s="538"/>
      <c r="M68" s="535"/>
    </row>
    <row r="69" spans="2:13" ht="23.25" x14ac:dyDescent="0.35">
      <c r="F69" s="534"/>
      <c r="G69" s="537"/>
      <c r="H69" s="538"/>
      <c r="I69" s="539"/>
      <c r="J69" s="540"/>
      <c r="K69" s="541"/>
      <c r="L69" s="538"/>
      <c r="M69" s="535"/>
    </row>
    <row r="70" spans="2:13" ht="23.25" x14ac:dyDescent="0.35">
      <c r="F70" s="534"/>
      <c r="G70" s="537"/>
      <c r="H70" s="538"/>
      <c r="I70" s="539"/>
      <c r="J70" s="540"/>
      <c r="K70" s="541"/>
      <c r="L70" s="538"/>
      <c r="M70" s="535"/>
    </row>
    <row r="71" spans="2:13" ht="23.25" x14ac:dyDescent="0.35">
      <c r="F71" s="534"/>
      <c r="G71" s="537"/>
      <c r="H71" s="538"/>
      <c r="I71" s="539"/>
      <c r="J71" s="540"/>
      <c r="K71" s="541"/>
      <c r="L71" s="538"/>
      <c r="M71" s="535"/>
    </row>
    <row r="72" spans="2:13" ht="23.25" x14ac:dyDescent="0.35">
      <c r="F72" s="534"/>
      <c r="G72" s="537"/>
      <c r="H72" s="538"/>
      <c r="I72" s="539"/>
      <c r="J72" s="540"/>
      <c r="K72" s="541"/>
      <c r="L72" s="538"/>
      <c r="M72" s="535"/>
    </row>
    <row r="73" spans="2:13" ht="23.25" x14ac:dyDescent="0.35">
      <c r="F73" s="534"/>
      <c r="G73" s="537"/>
      <c r="H73" s="538"/>
      <c r="I73" s="539"/>
      <c r="J73" s="540"/>
      <c r="K73" s="541"/>
      <c r="L73" s="538"/>
      <c r="M73" s="535"/>
    </row>
    <row r="74" spans="2:13" ht="23.25" x14ac:dyDescent="0.35">
      <c r="F74" s="534"/>
      <c r="G74" s="537"/>
      <c r="H74" s="538"/>
      <c r="I74" s="539"/>
      <c r="J74" s="540"/>
      <c r="K74" s="541"/>
      <c r="L74" s="538"/>
      <c r="M74" s="535"/>
    </row>
    <row r="75" spans="2:13" ht="23.25" x14ac:dyDescent="0.35">
      <c r="F75" s="534"/>
      <c r="G75" s="537"/>
      <c r="H75" s="538"/>
      <c r="I75" s="539"/>
      <c r="J75" s="540"/>
      <c r="K75" s="541"/>
      <c r="L75" s="538"/>
      <c r="M75" s="535"/>
    </row>
    <row r="76" spans="2:13" ht="23.25" x14ac:dyDescent="0.35">
      <c r="F76" s="534"/>
      <c r="G76" s="537"/>
      <c r="H76" s="538"/>
      <c r="I76" s="539"/>
      <c r="J76" s="540"/>
      <c r="K76" s="541"/>
      <c r="L76" s="538"/>
      <c r="M76" s="535"/>
    </row>
    <row r="77" spans="2:13" ht="23.25" x14ac:dyDescent="0.35">
      <c r="F77" s="534"/>
      <c r="G77" s="537"/>
      <c r="H77" s="538"/>
      <c r="I77" s="539"/>
      <c r="J77" s="540"/>
      <c r="K77" s="541"/>
      <c r="L77" s="538"/>
      <c r="M77" s="535"/>
    </row>
    <row r="78" spans="2:13" ht="23.25" x14ac:dyDescent="0.35">
      <c r="F78" s="534"/>
      <c r="G78" s="537"/>
      <c r="H78" s="538"/>
      <c r="I78" s="539"/>
      <c r="J78" s="540"/>
      <c r="K78" s="541"/>
      <c r="L78" s="538"/>
      <c r="M78" s="535"/>
    </row>
    <row r="79" spans="2:13" ht="23.25" x14ac:dyDescent="0.35">
      <c r="F79" s="534"/>
      <c r="G79" s="537"/>
      <c r="H79" s="538"/>
      <c r="I79" s="539"/>
      <c r="J79" s="540"/>
      <c r="K79" s="541"/>
      <c r="L79" s="538"/>
      <c r="M79" s="535"/>
    </row>
    <row r="80" spans="2:13" ht="23.25" x14ac:dyDescent="0.35">
      <c r="F80" s="534"/>
      <c r="G80" s="537"/>
      <c r="H80" s="538"/>
      <c r="I80" s="539"/>
      <c r="J80" s="540"/>
      <c r="K80" s="541"/>
      <c r="L80" s="538"/>
      <c r="M80" s="535"/>
    </row>
    <row r="81" spans="6:13" ht="23.25" x14ac:dyDescent="0.35">
      <c r="F81" s="534"/>
      <c r="G81" s="537"/>
      <c r="H81" s="538"/>
      <c r="I81" s="539"/>
      <c r="J81" s="540"/>
      <c r="K81" s="541"/>
      <c r="L81" s="538"/>
      <c r="M81" s="535"/>
    </row>
    <row r="82" spans="6:13" ht="23.25" x14ac:dyDescent="0.35">
      <c r="F82" s="534"/>
      <c r="G82" s="537"/>
      <c r="H82" s="538"/>
      <c r="I82" s="539"/>
      <c r="J82" s="540"/>
      <c r="K82" s="541"/>
      <c r="L82" s="538"/>
      <c r="M82" s="535"/>
    </row>
    <row r="83" spans="6:13" ht="23.25" x14ac:dyDescent="0.35">
      <c r="F83" s="534"/>
      <c r="G83" s="537"/>
      <c r="H83" s="538"/>
      <c r="I83" s="539"/>
      <c r="J83" s="540"/>
      <c r="K83" s="541"/>
      <c r="L83" s="538"/>
      <c r="M83" s="535"/>
    </row>
    <row r="84" spans="6:13" ht="23.25" x14ac:dyDescent="0.35">
      <c r="F84" s="534"/>
      <c r="G84" s="537"/>
      <c r="H84" s="538"/>
      <c r="I84" s="539"/>
      <c r="J84" s="540"/>
      <c r="K84" s="541"/>
      <c r="L84" s="538"/>
      <c r="M84" s="535"/>
    </row>
    <row r="85" spans="6:13" ht="23.25" x14ac:dyDescent="0.35">
      <c r="F85" s="534"/>
      <c r="G85" s="537"/>
      <c r="H85" s="538"/>
      <c r="I85" s="539"/>
      <c r="J85" s="540"/>
      <c r="K85" s="541"/>
      <c r="L85" s="538"/>
      <c r="M85" s="535"/>
    </row>
    <row r="86" spans="6:13" ht="23.25" x14ac:dyDescent="0.35">
      <c r="F86" s="534"/>
      <c r="G86" s="537"/>
      <c r="H86" s="538"/>
      <c r="I86" s="539"/>
      <c r="J86" s="540"/>
      <c r="K86" s="541"/>
      <c r="L86" s="538"/>
      <c r="M86" s="535"/>
    </row>
    <row r="87" spans="6:13" ht="23.25" x14ac:dyDescent="0.35">
      <c r="F87" s="534"/>
      <c r="G87" s="537"/>
      <c r="H87" s="538"/>
      <c r="I87" s="539"/>
      <c r="J87" s="540"/>
      <c r="K87" s="541"/>
      <c r="L87" s="538"/>
      <c r="M87" s="535"/>
    </row>
    <row r="88" spans="6:13" ht="23.25" x14ac:dyDescent="0.35">
      <c r="F88" s="534"/>
      <c r="G88" s="537"/>
      <c r="H88" s="538"/>
      <c r="I88" s="539"/>
      <c r="J88" s="540"/>
      <c r="K88" s="541"/>
      <c r="L88" s="538"/>
      <c r="M88" s="535"/>
    </row>
    <row r="89" spans="6:13" ht="23.25" x14ac:dyDescent="0.35">
      <c r="F89" s="534"/>
      <c r="G89" s="537"/>
      <c r="H89" s="538"/>
      <c r="I89" s="539"/>
      <c r="J89" s="540"/>
      <c r="K89" s="541"/>
      <c r="L89" s="538"/>
      <c r="M89" s="535"/>
    </row>
    <row r="90" spans="6:13" ht="23.25" x14ac:dyDescent="0.35">
      <c r="F90" s="534"/>
      <c r="G90" s="537"/>
      <c r="H90" s="538"/>
      <c r="I90" s="539"/>
      <c r="J90" s="540"/>
      <c r="K90" s="541"/>
      <c r="L90" s="538"/>
      <c r="M90" s="535"/>
    </row>
    <row r="91" spans="6:13" ht="23.25" x14ac:dyDescent="0.35">
      <c r="F91" s="534"/>
      <c r="G91" s="537"/>
      <c r="H91" s="538"/>
      <c r="I91" s="539"/>
      <c r="J91" s="540"/>
      <c r="K91" s="541"/>
      <c r="L91" s="538"/>
      <c r="M91" s="535"/>
    </row>
    <row r="92" spans="6:13" ht="23.25" x14ac:dyDescent="0.35">
      <c r="F92" s="534"/>
      <c r="G92" s="537"/>
      <c r="H92" s="538"/>
      <c r="I92" s="539"/>
      <c r="J92" s="540"/>
      <c r="K92" s="541"/>
      <c r="L92" s="538"/>
      <c r="M92" s="535"/>
    </row>
    <row r="93" spans="6:13" ht="23.25" x14ac:dyDescent="0.35">
      <c r="F93" s="534"/>
      <c r="G93" s="537"/>
      <c r="H93" s="538"/>
      <c r="I93" s="539"/>
      <c r="J93" s="540"/>
      <c r="K93" s="541"/>
      <c r="L93" s="538"/>
      <c r="M93" s="535"/>
    </row>
    <row r="94" spans="6:13" ht="23.25" x14ac:dyDescent="0.35">
      <c r="F94" s="534"/>
      <c r="G94" s="537"/>
      <c r="H94" s="538"/>
      <c r="I94" s="539"/>
      <c r="J94" s="540"/>
      <c r="K94" s="541"/>
      <c r="L94" s="538"/>
      <c r="M94" s="535"/>
    </row>
    <row r="95" spans="6:13" ht="23.25" x14ac:dyDescent="0.35">
      <c r="F95" s="534"/>
      <c r="G95" s="537"/>
      <c r="H95" s="538"/>
      <c r="I95" s="539"/>
      <c r="J95" s="540"/>
      <c r="K95" s="541"/>
      <c r="L95" s="538"/>
      <c r="M95" s="535"/>
    </row>
    <row r="96" spans="6:13" ht="23.25" x14ac:dyDescent="0.35">
      <c r="F96" s="534"/>
      <c r="G96" s="537"/>
      <c r="H96" s="538"/>
      <c r="I96" s="539"/>
      <c r="J96" s="540"/>
      <c r="K96" s="541"/>
      <c r="L96" s="538"/>
      <c r="M96" s="535"/>
    </row>
    <row r="97" spans="6:13" ht="23.25" x14ac:dyDescent="0.35">
      <c r="F97" s="534"/>
      <c r="G97" s="537"/>
      <c r="H97" s="538"/>
      <c r="I97" s="539"/>
      <c r="J97" s="540"/>
      <c r="K97" s="541"/>
      <c r="L97" s="538"/>
      <c r="M97" s="535"/>
    </row>
    <row r="98" spans="6:13" ht="23.25" x14ac:dyDescent="0.35">
      <c r="F98" s="534"/>
      <c r="G98" s="537"/>
      <c r="H98" s="538"/>
      <c r="I98" s="539"/>
      <c r="J98" s="540"/>
      <c r="K98" s="541"/>
      <c r="L98" s="538"/>
      <c r="M98" s="535"/>
    </row>
    <row r="99" spans="6:13" ht="23.25" x14ac:dyDescent="0.35">
      <c r="F99" s="534"/>
      <c r="G99" s="537"/>
      <c r="H99" s="538"/>
      <c r="I99" s="539"/>
      <c r="J99" s="540"/>
      <c r="K99" s="541"/>
      <c r="L99" s="538"/>
      <c r="M99" s="535"/>
    </row>
    <row r="100" spans="6:13" ht="23.25" x14ac:dyDescent="0.35">
      <c r="F100" s="534"/>
      <c r="G100" s="537"/>
      <c r="H100" s="538"/>
      <c r="I100" s="539"/>
      <c r="J100" s="540"/>
      <c r="K100" s="541"/>
      <c r="L100" s="538"/>
      <c r="M100" s="535"/>
    </row>
    <row r="101" spans="6:13" ht="23.25" x14ac:dyDescent="0.35">
      <c r="F101" s="534"/>
      <c r="G101" s="537"/>
      <c r="H101" s="538"/>
      <c r="I101" s="539"/>
      <c r="J101" s="540"/>
      <c r="K101" s="541"/>
      <c r="L101" s="538"/>
      <c r="M101" s="535"/>
    </row>
    <row r="102" spans="6:13" ht="23.25" x14ac:dyDescent="0.35">
      <c r="F102" s="534"/>
      <c r="G102" s="537"/>
      <c r="H102" s="538"/>
      <c r="I102" s="539"/>
      <c r="J102" s="540"/>
      <c r="K102" s="541"/>
      <c r="L102" s="538"/>
      <c r="M102" s="535"/>
    </row>
    <row r="103" spans="6:13" ht="23.25" x14ac:dyDescent="0.35">
      <c r="F103" s="534"/>
      <c r="G103" s="537"/>
      <c r="H103" s="538"/>
      <c r="I103" s="539"/>
      <c r="J103" s="540"/>
      <c r="K103" s="541"/>
      <c r="L103" s="538"/>
      <c r="M103" s="535"/>
    </row>
    <row r="104" spans="6:13" ht="23.25" x14ac:dyDescent="0.35">
      <c r="F104" s="534"/>
      <c r="G104" s="537"/>
      <c r="H104" s="538"/>
      <c r="I104" s="539"/>
      <c r="J104" s="540"/>
      <c r="K104" s="541"/>
      <c r="L104" s="538"/>
      <c r="M104" s="535"/>
    </row>
    <row r="105" spans="6:13" ht="23.25" x14ac:dyDescent="0.35">
      <c r="F105" s="534"/>
      <c r="G105" s="537"/>
      <c r="H105" s="538"/>
      <c r="I105" s="539"/>
      <c r="J105" s="540"/>
      <c r="K105" s="541"/>
      <c r="L105" s="538"/>
      <c r="M105" s="535"/>
    </row>
    <row r="106" spans="6:13" ht="23.25" x14ac:dyDescent="0.35">
      <c r="F106" s="534"/>
      <c r="G106" s="537"/>
      <c r="H106" s="538"/>
      <c r="I106" s="539"/>
      <c r="J106" s="540"/>
      <c r="K106" s="541"/>
      <c r="L106" s="538"/>
      <c r="M106" s="535"/>
    </row>
    <row r="107" spans="6:13" ht="23.25" x14ac:dyDescent="0.35">
      <c r="F107" s="534"/>
      <c r="G107" s="537"/>
      <c r="H107" s="538"/>
      <c r="I107" s="539"/>
      <c r="J107" s="540"/>
      <c r="K107" s="541"/>
      <c r="L107" s="538"/>
      <c r="M107" s="535"/>
    </row>
    <row r="108" spans="6:13" ht="23.25" x14ac:dyDescent="0.35">
      <c r="F108" s="534"/>
      <c r="G108" s="537"/>
      <c r="H108" s="538"/>
      <c r="I108" s="539"/>
      <c r="J108" s="540"/>
      <c r="K108" s="541"/>
      <c r="L108" s="538"/>
      <c r="M108" s="535"/>
    </row>
    <row r="109" spans="6:13" ht="23.25" x14ac:dyDescent="0.35">
      <c r="F109" s="534"/>
      <c r="G109" s="537"/>
      <c r="H109" s="538"/>
      <c r="I109" s="539"/>
      <c r="J109" s="540"/>
      <c r="K109" s="541"/>
      <c r="L109" s="538"/>
      <c r="M109" s="535"/>
    </row>
    <row r="110" spans="6:13" ht="23.25" x14ac:dyDescent="0.35">
      <c r="F110" s="534"/>
      <c r="G110" s="537"/>
      <c r="H110" s="538"/>
      <c r="I110" s="539"/>
      <c r="J110" s="540"/>
      <c r="K110" s="541"/>
      <c r="L110" s="538"/>
      <c r="M110" s="535"/>
    </row>
    <row r="111" spans="6:13" ht="23.25" x14ac:dyDescent="0.35">
      <c r="F111" s="534"/>
      <c r="G111" s="537"/>
      <c r="H111" s="538"/>
      <c r="I111" s="539"/>
      <c r="J111" s="540"/>
      <c r="K111" s="541"/>
      <c r="L111" s="538"/>
      <c r="M111" s="535"/>
    </row>
    <row r="112" spans="6:13" ht="23.25" x14ac:dyDescent="0.35">
      <c r="F112" s="534"/>
      <c r="G112" s="537"/>
      <c r="H112" s="537"/>
      <c r="I112" s="537"/>
      <c r="J112" s="537"/>
      <c r="K112" s="537"/>
      <c r="L112" s="537"/>
      <c r="M112" s="535"/>
    </row>
    <row r="113" spans="6:13" ht="23.25" x14ac:dyDescent="0.35">
      <c r="F113" s="534"/>
      <c r="G113" s="542"/>
      <c r="H113" s="538"/>
      <c r="I113" s="539"/>
      <c r="J113" s="540"/>
      <c r="K113" s="541"/>
      <c r="L113" s="538"/>
      <c r="M113" s="535"/>
    </row>
    <row r="114" spans="6:13" ht="23.25" x14ac:dyDescent="0.35">
      <c r="F114" s="534"/>
      <c r="G114" s="542"/>
      <c r="H114" s="538"/>
      <c r="I114" s="539"/>
      <c r="J114" s="540"/>
      <c r="K114" s="541"/>
      <c r="L114" s="538"/>
      <c r="M114" s="535"/>
    </row>
    <row r="115" spans="6:13" ht="23.25" x14ac:dyDescent="0.35">
      <c r="F115" s="534"/>
      <c r="G115" s="542"/>
      <c r="H115" s="538"/>
      <c r="I115" s="539"/>
      <c r="J115" s="540"/>
      <c r="K115" s="541"/>
      <c r="L115" s="538"/>
      <c r="M115" s="535"/>
    </row>
    <row r="116" spans="6:13" ht="23.25" x14ac:dyDescent="0.35">
      <c r="F116" s="534"/>
      <c r="G116" s="542"/>
      <c r="H116" s="538"/>
      <c r="I116" s="539"/>
      <c r="J116" s="540"/>
      <c r="K116" s="541"/>
      <c r="L116" s="538"/>
      <c r="M116" s="535"/>
    </row>
    <row r="117" spans="6:13" ht="23.25" x14ac:dyDescent="0.35">
      <c r="F117" s="534"/>
      <c r="G117" s="542"/>
      <c r="H117" s="538"/>
      <c r="I117" s="539"/>
      <c r="J117" s="540"/>
      <c r="K117" s="541"/>
      <c r="L117" s="538"/>
      <c r="M117" s="535"/>
    </row>
    <row r="118" spans="6:13" ht="23.25" x14ac:dyDescent="0.35">
      <c r="F118" s="534"/>
      <c r="G118" s="537"/>
      <c r="H118" s="538"/>
      <c r="I118" s="539"/>
      <c r="J118" s="540"/>
      <c r="K118" s="541"/>
      <c r="L118" s="538"/>
      <c r="M118" s="535"/>
    </row>
    <row r="119" spans="6:13" ht="23.25" x14ac:dyDescent="0.35">
      <c r="F119" s="534"/>
      <c r="G119" s="537"/>
      <c r="H119" s="538"/>
      <c r="I119" s="539"/>
      <c r="J119" s="540"/>
      <c r="K119" s="541"/>
      <c r="L119" s="538"/>
      <c r="M119" s="535"/>
    </row>
    <row r="120" spans="6:13" ht="23.25" x14ac:dyDescent="0.35">
      <c r="F120" s="534"/>
      <c r="G120" s="537"/>
      <c r="H120" s="538"/>
      <c r="I120" s="539"/>
      <c r="J120" s="540"/>
      <c r="K120" s="541"/>
      <c r="L120" s="538"/>
      <c r="M120" s="535"/>
    </row>
    <row r="121" spans="6:13" ht="23.25" x14ac:dyDescent="0.35">
      <c r="F121" s="534"/>
      <c r="G121" s="537"/>
      <c r="H121" s="538"/>
      <c r="I121" s="539"/>
      <c r="J121" s="540"/>
      <c r="K121" s="541"/>
      <c r="L121" s="538"/>
      <c r="M121" s="535"/>
    </row>
    <row r="122" spans="6:13" ht="23.25" x14ac:dyDescent="0.35">
      <c r="F122" s="534"/>
      <c r="G122" s="537"/>
      <c r="H122" s="538"/>
      <c r="I122" s="539"/>
      <c r="J122" s="540"/>
      <c r="K122" s="541"/>
      <c r="L122" s="538"/>
      <c r="M122" s="535"/>
    </row>
    <row r="123" spans="6:13" x14ac:dyDescent="0.2">
      <c r="G123" s="112"/>
      <c r="H123" s="112"/>
      <c r="I123" s="112"/>
      <c r="J123" s="112"/>
      <c r="K123" s="112"/>
      <c r="L123" s="112"/>
    </row>
  </sheetData>
  <sheetProtection algorithmName="SHA-512" hashValue="gmaM09j+L+Cbd+IEOuOTt3XxhHtYrwKJi23PaXPnXNU5L5HFDzRpCcxefLVdh3SB2ZKkWcNnKYaMkWH5EtYXRw==" saltValue="2APOvwqchbJ3hUHZq2kVfQ==" spinCount="100000" sheet="1" objects="1" scenarios="1"/>
  <mergeCells count="1">
    <mergeCell ref="B5:I5"/>
  </mergeCells>
  <pageMargins left="0.7" right="0.7" top="0.75" bottom="0.75" header="0.3" footer="0.3"/>
  <pageSetup scale="28"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tint="0.79998168889431442"/>
    <pageSetUpPr fitToPage="1"/>
  </sheetPr>
  <dimension ref="A1:J73"/>
  <sheetViews>
    <sheetView zoomScale="50" zoomScaleNormal="50" workbookViewId="0">
      <selection activeCell="J6" sqref="J6:J8"/>
    </sheetView>
  </sheetViews>
  <sheetFormatPr defaultColWidth="9.140625" defaultRowHeight="15" x14ac:dyDescent="0.25"/>
  <cols>
    <col min="1" max="1" width="12.140625" style="61" customWidth="1"/>
    <col min="2" max="2" width="23.85546875" style="61" customWidth="1"/>
    <col min="3" max="3" width="36.85546875" style="61" customWidth="1"/>
    <col min="4" max="4" width="35.5703125" style="61" customWidth="1"/>
    <col min="5" max="5" width="31.7109375" style="61" customWidth="1"/>
    <col min="6" max="6" width="16.28515625" style="61" customWidth="1"/>
    <col min="7" max="8" width="9.140625" style="61"/>
    <col min="9" max="9" width="30.85546875" style="61" customWidth="1"/>
    <col min="10" max="10" width="19" style="61" customWidth="1"/>
    <col min="11" max="16384" width="9.140625" style="61"/>
  </cols>
  <sheetData>
    <row r="1" spans="1:10" ht="53.25" x14ac:dyDescent="1">
      <c r="B1" s="113" t="s">
        <v>110</v>
      </c>
    </row>
    <row r="2" spans="1:10" ht="26.25" customHeight="1" x14ac:dyDescent="0.25">
      <c r="B2" s="116" t="s">
        <v>166</v>
      </c>
    </row>
    <row r="3" spans="1:10" ht="26.25" customHeight="1" x14ac:dyDescent="0.25">
      <c r="A3" s="110"/>
    </row>
    <row r="4" spans="1:10" ht="27.75" x14ac:dyDescent="0.35">
      <c r="B4" s="78" t="s">
        <v>88</v>
      </c>
      <c r="C4" s="79"/>
      <c r="D4" s="80" t="s">
        <v>89</v>
      </c>
      <c r="E4" s="79"/>
      <c r="F4" s="78"/>
      <c r="G4" s="78"/>
      <c r="I4" s="114" t="s">
        <v>119</v>
      </c>
    </row>
    <row r="5" spans="1:10" x14ac:dyDescent="0.25">
      <c r="B5" s="81"/>
      <c r="C5" s="81"/>
      <c r="D5" s="82"/>
      <c r="E5" s="81"/>
      <c r="I5"/>
    </row>
    <row r="6" spans="1:10" ht="27.75" x14ac:dyDescent="0.35">
      <c r="B6" s="78" t="s">
        <v>90</v>
      </c>
      <c r="C6" s="79"/>
      <c r="D6" s="80" t="s">
        <v>91</v>
      </c>
      <c r="E6" s="79"/>
      <c r="I6" s="115" t="s">
        <v>120</v>
      </c>
      <c r="J6" s="566">
        <v>0</v>
      </c>
    </row>
    <row r="7" spans="1:10" ht="27.75" x14ac:dyDescent="0.35">
      <c r="I7" s="123" t="s">
        <v>168</v>
      </c>
      <c r="J7" s="567">
        <f>'2) Project Crash Data'!G34</f>
        <v>0</v>
      </c>
    </row>
    <row r="8" spans="1:10" ht="27.75" x14ac:dyDescent="0.35">
      <c r="I8" s="123" t="s">
        <v>171</v>
      </c>
      <c r="J8" s="568">
        <f>'2) Project Crash Data'!E40</f>
        <v>0</v>
      </c>
    </row>
    <row r="9" spans="1:10" x14ac:dyDescent="0.25">
      <c r="A9" s="85"/>
      <c r="F9" s="87"/>
      <c r="G9" s="87"/>
    </row>
    <row r="10" spans="1:10" ht="49.5" customHeight="1" x14ac:dyDescent="0.25">
      <c r="A10" s="109"/>
      <c r="B10" s="640" t="s">
        <v>185</v>
      </c>
      <c r="C10" s="640"/>
      <c r="D10" s="640"/>
      <c r="E10" s="640"/>
      <c r="F10" s="640"/>
      <c r="G10" s="640"/>
      <c r="H10" s="640"/>
      <c r="I10" s="640"/>
    </row>
    <row r="11" spans="1:10" ht="23.25" x14ac:dyDescent="0.35">
      <c r="A11" s="109"/>
      <c r="B11" s="120"/>
      <c r="C11" s="118" t="s">
        <v>56</v>
      </c>
      <c r="D11" s="118" t="s">
        <v>57</v>
      </c>
      <c r="E11" s="118" t="s">
        <v>58</v>
      </c>
      <c r="F11" s="72"/>
    </row>
    <row r="12" spans="1:10" ht="69.75" x14ac:dyDescent="0.35">
      <c r="A12" s="109"/>
      <c r="B12" s="96" t="s">
        <v>132</v>
      </c>
      <c r="C12" s="96" t="s">
        <v>177</v>
      </c>
      <c r="D12" s="96" t="s">
        <v>133</v>
      </c>
      <c r="E12" s="96" t="s">
        <v>169</v>
      </c>
      <c r="F12" s="72"/>
    </row>
    <row r="13" spans="1:10" ht="30" customHeight="1" x14ac:dyDescent="0.35">
      <c r="A13" s="109"/>
      <c r="B13" s="84" t="s">
        <v>13</v>
      </c>
      <c r="C13" s="482">
        <f>IF('2) Project Crash Data'!G32&gt;0,'2) Project Crash Data'!G32,'2) Project Crash Data'!F32)</f>
        <v>0</v>
      </c>
      <c r="D13" s="129">
        <f>'3) Analysis Parameters'!D11</f>
        <v>207.88</v>
      </c>
      <c r="E13" s="562">
        <f>C13*D13</f>
        <v>0</v>
      </c>
      <c r="F13" s="72"/>
    </row>
    <row r="14" spans="1:10" ht="30" customHeight="1" x14ac:dyDescent="0.35">
      <c r="A14" s="109"/>
      <c r="B14" s="84" t="s">
        <v>12</v>
      </c>
      <c r="C14" s="482">
        <f>IF('2) Project Crash Data'!G33&gt;0,'2) Project Crash Data'!G33,'2) Project Crash Data'!F33)</f>
        <v>0</v>
      </c>
      <c r="D14" s="129">
        <f>'3) Analysis Parameters'!D12</f>
        <v>15.4</v>
      </c>
      <c r="E14" s="562">
        <f>C14*D14</f>
        <v>0</v>
      </c>
      <c r="F14" s="72"/>
    </row>
    <row r="15" spans="1:10" ht="30" customHeight="1" x14ac:dyDescent="0.35">
      <c r="A15" s="109"/>
      <c r="B15" s="84" t="s">
        <v>11</v>
      </c>
      <c r="C15" s="482">
        <f>IF('2) Project Crash Data'!G34&gt;0,'2) Project Crash Data'!G34,'2) Project Crash Data'!F34)</f>
        <v>0</v>
      </c>
      <c r="D15" s="129">
        <f>'3) Analysis Parameters'!D12</f>
        <v>15.4</v>
      </c>
      <c r="E15" s="562">
        <f>C15*D15</f>
        <v>0</v>
      </c>
      <c r="F15" s="72"/>
    </row>
    <row r="16" spans="1:10" ht="30" customHeight="1" x14ac:dyDescent="0.35">
      <c r="A16" s="109"/>
      <c r="B16" s="84" t="s">
        <v>10</v>
      </c>
      <c r="C16" s="482">
        <f>IF('2) Project Crash Data'!G35&gt;0,'2) Project Crash Data'!G35,'2) Project Crash Data'!F35)</f>
        <v>0</v>
      </c>
      <c r="D16" s="129">
        <f>'3) Analysis Parameters'!D12</f>
        <v>15.4</v>
      </c>
      <c r="E16" s="562">
        <f>C16*D16</f>
        <v>0</v>
      </c>
      <c r="F16" s="72"/>
    </row>
    <row r="17" spans="1:6" ht="30" customHeight="1" x14ac:dyDescent="0.35">
      <c r="A17" s="109"/>
      <c r="B17" s="120" t="s">
        <v>9</v>
      </c>
      <c r="C17" s="482">
        <f>IF('2) Project Crash Data'!G36&gt;0,'2) Project Crash Data'!G36,'2) Project Crash Data'!F36)</f>
        <v>0</v>
      </c>
      <c r="D17" s="124">
        <f>'3) Analysis Parameters'!D13</f>
        <v>10.32</v>
      </c>
      <c r="E17" s="563">
        <f>C17*D17</f>
        <v>0</v>
      </c>
      <c r="F17" s="72"/>
    </row>
    <row r="18" spans="1:6" ht="30" customHeight="1" x14ac:dyDescent="0.35">
      <c r="A18" s="109"/>
      <c r="B18" s="155" t="s">
        <v>180</v>
      </c>
      <c r="C18" s="156"/>
      <c r="D18" s="156"/>
      <c r="E18" s="564">
        <f>SUM(E13:E17)</f>
        <v>0</v>
      </c>
      <c r="F18" s="72"/>
    </row>
    <row r="19" spans="1:6" ht="30" customHeight="1" x14ac:dyDescent="0.35">
      <c r="A19" s="88"/>
      <c r="B19" s="83" t="s">
        <v>128</v>
      </c>
      <c r="C19" s="130"/>
      <c r="D19" s="130"/>
      <c r="E19" s="128">
        <f>IF('3) Analysis Parameters'!$E$8&lt;0,'3) Analysis Parameters'!$E$8,'3) Analysis Parameters'!$D$8)</f>
        <v>26.580785919999997</v>
      </c>
    </row>
    <row r="20" spans="1:6" ht="30" customHeight="1" x14ac:dyDescent="0.35">
      <c r="A20" s="88"/>
      <c r="B20" s="83" t="s">
        <v>179</v>
      </c>
      <c r="C20" s="130"/>
      <c r="D20" s="130"/>
      <c r="E20" s="565">
        <f>E18*E19</f>
        <v>0</v>
      </c>
    </row>
    <row r="22" spans="1:6" hidden="1" x14ac:dyDescent="0.25">
      <c r="B22" s="90" t="s">
        <v>27</v>
      </c>
      <c r="C22" s="90" t="s">
        <v>28</v>
      </c>
    </row>
    <row r="23" spans="1:6" hidden="1" x14ac:dyDescent="0.25">
      <c r="B23" s="91">
        <v>1</v>
      </c>
      <c r="C23" s="92">
        <f>IF(B23&lt;='1) Project Information'!D$14,(1/(1+(IF('1) Project Information'!$E$17&gt;0,'1) Project Information'!$E$17,'1) Project Information'!$D$17)))^B23)*$E$20,0)</f>
        <v>0</v>
      </c>
    </row>
    <row r="24" spans="1:6" hidden="1" x14ac:dyDescent="0.25">
      <c r="B24" s="91">
        <v>2</v>
      </c>
      <c r="C24" s="92">
        <f>IF(B24&lt;='1) Project Information'!D$14,(1/(1+(IF('1) Project Information'!$E$17&gt;0,'1) Project Information'!$E$17,'1) Project Information'!$D$17)))^B24)*$E$20,0)</f>
        <v>0</v>
      </c>
    </row>
    <row r="25" spans="1:6" hidden="1" x14ac:dyDescent="0.25">
      <c r="B25" s="91">
        <v>3</v>
      </c>
      <c r="C25" s="92">
        <f>IF(B25&lt;='1) Project Information'!D$14,(1/(1+(IF('1) Project Information'!$E$17&gt;0,'1) Project Information'!$E$17,'1) Project Information'!$D$17)))^B25)*$E$20,0)</f>
        <v>0</v>
      </c>
    </row>
    <row r="26" spans="1:6" hidden="1" x14ac:dyDescent="0.25">
      <c r="B26" s="91">
        <v>4</v>
      </c>
      <c r="C26" s="92">
        <f>IF(B26&lt;='1) Project Information'!D$14,(1/(1+(IF('1) Project Information'!$E$17&gt;0,'1) Project Information'!$E$17,'1) Project Information'!$D$17)))^B26)*$E$20,0)</f>
        <v>0</v>
      </c>
    </row>
    <row r="27" spans="1:6" hidden="1" x14ac:dyDescent="0.25">
      <c r="B27" s="91">
        <v>5</v>
      </c>
      <c r="C27" s="92">
        <f>IF(B27&lt;='1) Project Information'!D$14,(1/(1+(IF('1) Project Information'!$E$17&gt;0,'1) Project Information'!$E$17,'1) Project Information'!$D$17)))^B27)*$E$20,0)</f>
        <v>0</v>
      </c>
    </row>
    <row r="28" spans="1:6" hidden="1" x14ac:dyDescent="0.25">
      <c r="B28" s="91">
        <v>6</v>
      </c>
      <c r="C28" s="92">
        <f>IF(B28&lt;='1) Project Information'!D$14,(1/(1+(IF('1) Project Information'!$E$17&gt;0,'1) Project Information'!$E$17,'1) Project Information'!$D$17)))^B28)*$E$20,0)</f>
        <v>0</v>
      </c>
    </row>
    <row r="29" spans="1:6" hidden="1" x14ac:dyDescent="0.25">
      <c r="B29" s="91">
        <v>7</v>
      </c>
      <c r="C29" s="92">
        <f>IF(B29&lt;='1) Project Information'!D$14,(1/(1+(IF('1) Project Information'!$E$17&gt;0,'1) Project Information'!$E$17,'1) Project Information'!$D$17)))^B29)*$E$20,0)</f>
        <v>0</v>
      </c>
    </row>
    <row r="30" spans="1:6" hidden="1" x14ac:dyDescent="0.25">
      <c r="B30" s="91">
        <v>8</v>
      </c>
      <c r="C30" s="92">
        <f>IF(B30&lt;='1) Project Information'!D$14,(1/(1+(IF('1) Project Information'!$E$17&gt;0,'1) Project Information'!$E$17,'1) Project Information'!$D$17)))^B30)*$E$20,0)</f>
        <v>0</v>
      </c>
    </row>
    <row r="31" spans="1:6" hidden="1" x14ac:dyDescent="0.25">
      <c r="B31" s="91">
        <v>9</v>
      </c>
      <c r="C31" s="92">
        <f>IF(B31&lt;='1) Project Information'!D$14,(1/(1+(IF('1) Project Information'!$E$17&gt;0,'1) Project Information'!$E$17,'1) Project Information'!$D$17)))^B31)*$E$20,0)</f>
        <v>0</v>
      </c>
    </row>
    <row r="32" spans="1:6" hidden="1" x14ac:dyDescent="0.25">
      <c r="B32" s="91">
        <v>10</v>
      </c>
      <c r="C32" s="92">
        <f>IF(B32&lt;='1) Project Information'!D$14,(1/(1+(IF('1) Project Information'!$E$17&gt;0,'1) Project Information'!$E$17,'1) Project Information'!$D$17)))^B32)*$E$20,0)</f>
        <v>0</v>
      </c>
    </row>
    <row r="33" spans="2:3" hidden="1" x14ac:dyDescent="0.25">
      <c r="B33" s="91">
        <v>11</v>
      </c>
      <c r="C33" s="92">
        <f>IF(B33&lt;='1) Project Information'!D$14,(1/(1+(IF('1) Project Information'!$E$17&gt;0,'1) Project Information'!$E$17,'1) Project Information'!$D$17)))^B33)*$E$20,0)</f>
        <v>0</v>
      </c>
    </row>
    <row r="34" spans="2:3" hidden="1" x14ac:dyDescent="0.25">
      <c r="B34" s="91">
        <v>12</v>
      </c>
      <c r="C34" s="92">
        <f>IF(B34&lt;='1) Project Information'!D$14,(1/(1+(IF('1) Project Information'!$E$17&gt;0,'1) Project Information'!$E$17,'1) Project Information'!$D$17)))^B34)*$E$20,0)</f>
        <v>0</v>
      </c>
    </row>
    <row r="35" spans="2:3" hidden="1" x14ac:dyDescent="0.25">
      <c r="B35" s="91">
        <v>13</v>
      </c>
      <c r="C35" s="92">
        <f>IF(B35&lt;='1) Project Information'!D$14,(1/(1+(IF('1) Project Information'!$E$17&gt;0,'1) Project Information'!$E$17,'1) Project Information'!$D$17)))^B35)*$E$20,0)</f>
        <v>0</v>
      </c>
    </row>
    <row r="36" spans="2:3" hidden="1" x14ac:dyDescent="0.25">
      <c r="B36" s="91">
        <v>14</v>
      </c>
      <c r="C36" s="92">
        <f>IF(B36&lt;='1) Project Information'!D$14,(1/(1+(IF('1) Project Information'!$E$17&gt;0,'1) Project Information'!$E$17,'1) Project Information'!$D$17)))^B36)*$E$20,0)</f>
        <v>0</v>
      </c>
    </row>
    <row r="37" spans="2:3" hidden="1" x14ac:dyDescent="0.25">
      <c r="B37" s="91">
        <v>15</v>
      </c>
      <c r="C37" s="92">
        <f>IF(B37&lt;='1) Project Information'!D$14,(1/(1+(IF('1) Project Information'!$E$17&gt;0,'1) Project Information'!$E$17,'1) Project Information'!$D$17)))^B37)*$E$20,0)</f>
        <v>0</v>
      </c>
    </row>
    <row r="38" spans="2:3" hidden="1" x14ac:dyDescent="0.25">
      <c r="B38" s="91">
        <v>16</v>
      </c>
      <c r="C38" s="92">
        <f>IF(B38&lt;='1) Project Information'!D$14,(1/(1+(IF('1) Project Information'!$E$17&gt;0,'1) Project Information'!$E$17,'1) Project Information'!$D$17)))^B38)*$E$20,0)</f>
        <v>0</v>
      </c>
    </row>
    <row r="39" spans="2:3" hidden="1" x14ac:dyDescent="0.25">
      <c r="B39" s="91">
        <v>17</v>
      </c>
      <c r="C39" s="92">
        <f>IF(B39&lt;='1) Project Information'!D$14,(1/(1+(IF('1) Project Information'!$E$17&gt;0,'1) Project Information'!$E$17,'1) Project Information'!$D$17)))^B39)*$E$20,0)</f>
        <v>0</v>
      </c>
    </row>
    <row r="40" spans="2:3" hidden="1" x14ac:dyDescent="0.25">
      <c r="B40" s="91">
        <v>18</v>
      </c>
      <c r="C40" s="92">
        <f>IF(B40&lt;='1) Project Information'!D$14,(1/(1+(IF('1) Project Information'!$E$17&gt;0,'1) Project Information'!$E$17,'1) Project Information'!$D$17)))^B40)*$E$20,0)</f>
        <v>0</v>
      </c>
    </row>
    <row r="41" spans="2:3" hidden="1" x14ac:dyDescent="0.25">
      <c r="B41" s="91">
        <v>19</v>
      </c>
      <c r="C41" s="92">
        <f>IF(B41&lt;='1) Project Information'!D$14,(1/(1+(IF('1) Project Information'!$E$17&gt;0,'1) Project Information'!$E$17,'1) Project Information'!$D$17)))^B41)*$E$20,0)</f>
        <v>0</v>
      </c>
    </row>
    <row r="42" spans="2:3" hidden="1" x14ac:dyDescent="0.25">
      <c r="B42" s="91">
        <v>20</v>
      </c>
      <c r="C42" s="92">
        <f>IF(B42&lt;='1) Project Information'!D$14,(1/(1+(IF('1) Project Information'!$E$17&gt;0,'1) Project Information'!$E$17,'1) Project Information'!$D$17)))^B42)*$E$20,0)</f>
        <v>0</v>
      </c>
    </row>
    <row r="43" spans="2:3" hidden="1" x14ac:dyDescent="0.25">
      <c r="B43" s="91">
        <v>21</v>
      </c>
      <c r="C43" s="92">
        <f>IF(B43&lt;='1) Project Information'!D$14,(1/(1+(IF('1) Project Information'!$E$17&gt;0,'1) Project Information'!$E$17,'1) Project Information'!$D$17)))^B43)*$E$20,0)</f>
        <v>0</v>
      </c>
    </row>
    <row r="44" spans="2:3" hidden="1" x14ac:dyDescent="0.25">
      <c r="B44" s="93">
        <v>22</v>
      </c>
      <c r="C44" s="92">
        <f>IF(B44&lt;='1) Project Information'!D$14,(1/(1+(IF('1) Project Information'!$E$17&gt;0,'1) Project Information'!$E$17,'1) Project Information'!$D$17)))^B44)*$E$20,0)</f>
        <v>0</v>
      </c>
    </row>
    <row r="45" spans="2:3" hidden="1" x14ac:dyDescent="0.25">
      <c r="B45" s="91">
        <v>23</v>
      </c>
      <c r="C45" s="92">
        <f>IF(B45&lt;='1) Project Information'!D$14,(1/(1+(IF('1) Project Information'!$E$17&gt;0,'1) Project Information'!$E$17,'1) Project Information'!$D$17)))^B45)*$E$20,0)</f>
        <v>0</v>
      </c>
    </row>
    <row r="46" spans="2:3" hidden="1" x14ac:dyDescent="0.25">
      <c r="B46" s="93">
        <v>24</v>
      </c>
      <c r="C46" s="92">
        <f>IF(B46&lt;='1) Project Information'!D$14,(1/(1+(IF('1) Project Information'!$E$17&gt;0,'1) Project Information'!$E$17,'1) Project Information'!$D$17)))^B46)*$E$20,0)</f>
        <v>0</v>
      </c>
    </row>
    <row r="47" spans="2:3" hidden="1" x14ac:dyDescent="0.25">
      <c r="B47" s="91">
        <v>25</v>
      </c>
      <c r="C47" s="92">
        <f>IF(B47&lt;='1) Project Information'!D$14,(1/(1+(IF('1) Project Information'!$E$17&gt;0,'1) Project Information'!$E$17,'1) Project Information'!$D$17)))^B47)*$E$20,0)</f>
        <v>0</v>
      </c>
    </row>
    <row r="48" spans="2:3" hidden="1" x14ac:dyDescent="0.25">
      <c r="B48" s="93">
        <v>26</v>
      </c>
      <c r="C48" s="92">
        <f>IF(B48&lt;='1) Project Information'!D$14,(1/(1+(IF('1) Project Information'!$E$17&gt;0,'1) Project Information'!$E$17,'1) Project Information'!$D$17)))^B48)*$E$20,0)</f>
        <v>0</v>
      </c>
    </row>
    <row r="49" spans="2:3" hidden="1" x14ac:dyDescent="0.25">
      <c r="B49" s="91">
        <v>27</v>
      </c>
      <c r="C49" s="92">
        <f>IF(B49&lt;='1) Project Information'!D$14,(1/(1+(IF('1) Project Information'!$E$17&gt;0,'1) Project Information'!$E$17,'1) Project Information'!$D$17)))^B49)*$E$20,0)</f>
        <v>0</v>
      </c>
    </row>
    <row r="50" spans="2:3" hidden="1" x14ac:dyDescent="0.25">
      <c r="B50" s="93">
        <v>28</v>
      </c>
      <c r="C50" s="92">
        <f>IF(B50&lt;='1) Project Information'!D$14,(1/(1+(IF('1) Project Information'!$E$17&gt;0,'1) Project Information'!$E$17,'1) Project Information'!$D$17)))^B50)*$E$20,0)</f>
        <v>0</v>
      </c>
    </row>
    <row r="51" spans="2:3" hidden="1" x14ac:dyDescent="0.25">
      <c r="B51" s="91">
        <v>29</v>
      </c>
      <c r="C51" s="92">
        <f>IF(B51&lt;='1) Project Information'!D$14,(1/(1+(IF('1) Project Information'!$E$17&gt;0,'1) Project Information'!$E$17,'1) Project Information'!$D$17)))^B51)*$E$20,0)</f>
        <v>0</v>
      </c>
    </row>
    <row r="52" spans="2:3" hidden="1" x14ac:dyDescent="0.25">
      <c r="B52" s="93">
        <v>30</v>
      </c>
      <c r="C52" s="92">
        <f>IF(B52&lt;='1) Project Information'!D$14,(1/(1+(IF('1) Project Information'!$E$17&gt;0,'1) Project Information'!$E$17,'1) Project Information'!$D$17)))^B52)*$E$20,0)</f>
        <v>0</v>
      </c>
    </row>
    <row r="53" spans="2:3" hidden="1" x14ac:dyDescent="0.25">
      <c r="B53" s="91">
        <v>31</v>
      </c>
      <c r="C53" s="92">
        <f>IF(B53&lt;='1) Project Information'!D$14,(1/(1+(IF('1) Project Information'!$E$17&gt;0,'1) Project Information'!$E$17,'1) Project Information'!$D$17)))^B53)*$E$20,0)</f>
        <v>0</v>
      </c>
    </row>
    <row r="54" spans="2:3" hidden="1" x14ac:dyDescent="0.25">
      <c r="B54" s="93">
        <v>32</v>
      </c>
      <c r="C54" s="92">
        <f>IF(B54&lt;='1) Project Information'!D$14,(1/(1+(IF('1) Project Information'!$E$17&gt;0,'1) Project Information'!$E$17,'1) Project Information'!$D$17)))^B54)*$E$20,0)</f>
        <v>0</v>
      </c>
    </row>
    <row r="55" spans="2:3" hidden="1" x14ac:dyDescent="0.25">
      <c r="B55" s="91">
        <v>33</v>
      </c>
      <c r="C55" s="92">
        <f>IF(B55&lt;='1) Project Information'!D$14,(1/(1+(IF('1) Project Information'!$E$17&gt;0,'1) Project Information'!$E$17,'1) Project Information'!$D$17)))^B55)*$E$20,0)</f>
        <v>0</v>
      </c>
    </row>
    <row r="56" spans="2:3" hidden="1" x14ac:dyDescent="0.25">
      <c r="B56" s="93">
        <v>34</v>
      </c>
      <c r="C56" s="92">
        <f>IF(B56&lt;='1) Project Information'!D$14,(1/(1+(IF('1) Project Information'!$E$17&gt;0,'1) Project Information'!$E$17,'1) Project Information'!$D$17)))^B56)*$E$20,0)</f>
        <v>0</v>
      </c>
    </row>
    <row r="57" spans="2:3" hidden="1" x14ac:dyDescent="0.25">
      <c r="B57" s="91">
        <v>35</v>
      </c>
      <c r="C57" s="92">
        <f>IF(B57&lt;='1) Project Information'!D$14,(1/(1+(IF('1) Project Information'!$E$17&gt;0,'1) Project Information'!$E$17,'1) Project Information'!$D$17)))^B57)*$E$20,0)</f>
        <v>0</v>
      </c>
    </row>
    <row r="58" spans="2:3" hidden="1" x14ac:dyDescent="0.25">
      <c r="B58" s="93">
        <v>36</v>
      </c>
      <c r="C58" s="92">
        <f>IF(B58&lt;='1) Project Information'!D$14,(1/(1+(IF('1) Project Information'!$E$17&gt;0,'1) Project Information'!$E$17,'1) Project Information'!$D$17)))^B58)*$E$20,0)</f>
        <v>0</v>
      </c>
    </row>
    <row r="59" spans="2:3" hidden="1" x14ac:dyDescent="0.25">
      <c r="B59" s="91">
        <v>37</v>
      </c>
      <c r="C59" s="92">
        <f>IF(B59&lt;='1) Project Information'!D$14,(1/(1+(IF('1) Project Information'!$E$17&gt;0,'1) Project Information'!$E$17,'1) Project Information'!$D$17)))^B59)*$E$20,0)</f>
        <v>0</v>
      </c>
    </row>
    <row r="60" spans="2:3" hidden="1" x14ac:dyDescent="0.25">
      <c r="B60" s="93">
        <v>38</v>
      </c>
      <c r="C60" s="92">
        <f>IF(B60&lt;='1) Project Information'!D$14,(1/(1+(IF('1) Project Information'!$E$17&gt;0,'1) Project Information'!$E$17,'1) Project Information'!$D$17)))^B60)*$E$20,0)</f>
        <v>0</v>
      </c>
    </row>
    <row r="61" spans="2:3" hidden="1" x14ac:dyDescent="0.25">
      <c r="B61" s="91">
        <v>39</v>
      </c>
      <c r="C61" s="92">
        <f>IF(B61&lt;='1) Project Information'!D$14,(1/(1+(IF('1) Project Information'!$E$17&gt;0,'1) Project Information'!$E$17,'1) Project Information'!$D$17)))^B61)*$E$20,0)</f>
        <v>0</v>
      </c>
    </row>
    <row r="62" spans="2:3" hidden="1" x14ac:dyDescent="0.25">
      <c r="B62" s="93">
        <v>40</v>
      </c>
      <c r="C62" s="92">
        <f>IF(B62&lt;='1) Project Information'!D$14,(1/(1+(IF('1) Project Information'!$E$17&gt;0,'1) Project Information'!$E$17,'1) Project Information'!$D$17)))^B62)*$E$20,0)</f>
        <v>0</v>
      </c>
    </row>
    <row r="63" spans="2:3" hidden="1" x14ac:dyDescent="0.25">
      <c r="B63" s="91">
        <v>41</v>
      </c>
      <c r="C63" s="92">
        <f>IF(B63&lt;='1) Project Information'!D$14,(1/(1+(IF('1) Project Information'!$E$17&gt;0,'1) Project Information'!$E$17,'1) Project Information'!$D$17)))^B63)*$E$20,0)</f>
        <v>0</v>
      </c>
    </row>
    <row r="64" spans="2:3" hidden="1" x14ac:dyDescent="0.25">
      <c r="B64" s="93">
        <v>42</v>
      </c>
      <c r="C64" s="92">
        <f>IF(B64&lt;='1) Project Information'!D$14,(1/(1+(IF('1) Project Information'!$E$17&gt;0,'1) Project Information'!$E$17,'1) Project Information'!$D$17)))^B64)*$E$20,0)</f>
        <v>0</v>
      </c>
    </row>
    <row r="65" spans="2:3" hidden="1" x14ac:dyDescent="0.25">
      <c r="B65" s="91">
        <v>43</v>
      </c>
      <c r="C65" s="92">
        <f>IF(B65&lt;='1) Project Information'!D$14,(1/(1+(IF('1) Project Information'!$E$17&gt;0,'1) Project Information'!$E$17,'1) Project Information'!$D$17)))^B65)*$E$20,0)</f>
        <v>0</v>
      </c>
    </row>
    <row r="66" spans="2:3" hidden="1" x14ac:dyDescent="0.25">
      <c r="B66" s="93">
        <v>44</v>
      </c>
      <c r="C66" s="92">
        <f>IF(B66&lt;='1) Project Information'!D$14,(1/(1+(IF('1) Project Information'!$E$17&gt;0,'1) Project Information'!$E$17,'1) Project Information'!$D$17)))^B66)*$E$20,0)</f>
        <v>0</v>
      </c>
    </row>
    <row r="67" spans="2:3" hidden="1" x14ac:dyDescent="0.25">
      <c r="B67" s="91">
        <v>45</v>
      </c>
      <c r="C67" s="92">
        <f>IF(B67&lt;='1) Project Information'!D$14,(1/(1+(IF('1) Project Information'!$E$17&gt;0,'1) Project Information'!$E$17,'1) Project Information'!$D$17)))^B67)*$E$20,0)</f>
        <v>0</v>
      </c>
    </row>
    <row r="68" spans="2:3" hidden="1" x14ac:dyDescent="0.25">
      <c r="B68" s="93">
        <v>46</v>
      </c>
      <c r="C68" s="92">
        <f>IF(B68&lt;='1) Project Information'!D$14,(1/(1+(IF('1) Project Information'!$E$17&gt;0,'1) Project Information'!$E$17,'1) Project Information'!$D$17)))^B68)*$E$20,0)</f>
        <v>0</v>
      </c>
    </row>
    <row r="69" spans="2:3" hidden="1" x14ac:dyDescent="0.25">
      <c r="B69" s="91">
        <v>47</v>
      </c>
      <c r="C69" s="92">
        <f>IF(B69&lt;='1) Project Information'!D$14,(1/(1+(IF('1) Project Information'!$E$17&gt;0,'1) Project Information'!$E$17,'1) Project Information'!$D$17)))^B69)*$E$20,0)</f>
        <v>0</v>
      </c>
    </row>
    <row r="70" spans="2:3" hidden="1" x14ac:dyDescent="0.25">
      <c r="B70" s="93">
        <v>48</v>
      </c>
      <c r="C70" s="92">
        <f>IF(B70&lt;='1) Project Information'!D$14,(1/(1+(IF('1) Project Information'!$E$17&gt;0,'1) Project Information'!$E$17,'1) Project Information'!$D$17)))^B70)*$E$20,0)</f>
        <v>0</v>
      </c>
    </row>
    <row r="71" spans="2:3" hidden="1" x14ac:dyDescent="0.25">
      <c r="B71" s="91">
        <v>49</v>
      </c>
      <c r="C71" s="92">
        <f>IF(B71&lt;='1) Project Information'!D$14,(1/(1+(IF('1) Project Information'!$E$17&gt;0,'1) Project Information'!$E$17,'1) Project Information'!$D$17)))^B71)*$E$20,0)</f>
        <v>0</v>
      </c>
    </row>
    <row r="72" spans="2:3" hidden="1" x14ac:dyDescent="0.25">
      <c r="B72" s="91">
        <v>50</v>
      </c>
      <c r="C72" s="92">
        <f>IF(B72&lt;='1) Project Information'!D$14,(1/(1+(IF('1) Project Information'!$E$17&gt;0,'1) Project Information'!$E$17,'1) Project Information'!$D$17)))^B72)*$E$20,0)</f>
        <v>0</v>
      </c>
    </row>
    <row r="73" spans="2:3" hidden="1" x14ac:dyDescent="0.25">
      <c r="C73" s="94">
        <f>SUM(C23:C72)</f>
        <v>0</v>
      </c>
    </row>
  </sheetData>
  <sheetProtection algorithmName="SHA-512" hashValue="hvkXDGW/s+T/f/DB/sGtmxB0js8mdyPdhgnfx4J03RBRYK36LZbgbhpK6vKV2cM9hteBSGSJe0CNr/e1JLsfnw==" saltValue="XcQ3JuxNsay9pEm/d6pTEg==" spinCount="100000" sheet="1" objects="1" scenarios="1"/>
  <mergeCells count="1">
    <mergeCell ref="B10:I10"/>
  </mergeCells>
  <pageMargins left="0.7" right="0.7" top="0.75" bottom="0.75" header="0.3" footer="0.3"/>
  <pageSetup scale="54"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FF0000"/>
  </sheetPr>
  <dimension ref="A1:Z93"/>
  <sheetViews>
    <sheetView zoomScale="70" zoomScaleNormal="70" workbookViewId="0">
      <selection activeCell="F9" sqref="F9"/>
    </sheetView>
  </sheetViews>
  <sheetFormatPr defaultRowHeight="15" x14ac:dyDescent="0.25"/>
  <cols>
    <col min="2" max="2" width="6.7109375" customWidth="1"/>
    <col min="3" max="3" width="8.5703125" customWidth="1"/>
    <col min="4" max="4" width="34.7109375" customWidth="1"/>
    <col min="5" max="5" width="20" customWidth="1"/>
    <col min="6" max="6" width="10.28515625" customWidth="1"/>
    <col min="7" max="7" width="18.28515625" customWidth="1"/>
    <col min="8" max="8" width="12" customWidth="1"/>
    <col min="19" max="19" width="11.5703125" customWidth="1"/>
  </cols>
  <sheetData>
    <row r="1" spans="1:26" x14ac:dyDescent="0.25">
      <c r="A1" s="429" t="s">
        <v>264</v>
      </c>
      <c r="B1" s="423"/>
      <c r="C1" s="423"/>
      <c r="D1" s="423"/>
      <c r="E1" s="423"/>
      <c r="F1" s="423"/>
      <c r="G1" s="423"/>
      <c r="H1" s="423"/>
      <c r="I1" s="423"/>
    </row>
    <row r="2" spans="1:26" ht="18.75" x14ac:dyDescent="0.3">
      <c r="A2" s="429" t="s">
        <v>265</v>
      </c>
      <c r="B2" s="430"/>
      <c r="C2" t="s">
        <v>266</v>
      </c>
      <c r="I2" s="423"/>
    </row>
    <row r="3" spans="1:26" x14ac:dyDescent="0.25">
      <c r="A3" s="423"/>
      <c r="B3" s="431"/>
      <c r="C3" t="s">
        <v>267</v>
      </c>
      <c r="D3" t="s">
        <v>268</v>
      </c>
      <c r="E3" t="s">
        <v>269</v>
      </c>
      <c r="F3" t="s">
        <v>270</v>
      </c>
      <c r="G3" t="s">
        <v>271</v>
      </c>
      <c r="H3" t="s">
        <v>272</v>
      </c>
      <c r="I3" s="423"/>
      <c r="L3" t="s">
        <v>273</v>
      </c>
      <c r="W3" t="s">
        <v>273</v>
      </c>
    </row>
    <row r="4" spans="1:26" ht="15.75" x14ac:dyDescent="0.25">
      <c r="A4" s="423"/>
      <c r="B4" s="432"/>
      <c r="C4">
        <v>1</v>
      </c>
      <c r="D4" s="447" t="s">
        <v>76</v>
      </c>
      <c r="E4">
        <v>2200</v>
      </c>
      <c r="F4">
        <v>70</v>
      </c>
      <c r="G4" t="s">
        <v>274</v>
      </c>
      <c r="H4" t="s">
        <v>274</v>
      </c>
      <c r="I4" s="423"/>
      <c r="N4" t="s">
        <v>254</v>
      </c>
      <c r="O4" t="s">
        <v>275</v>
      </c>
      <c r="P4" t="s">
        <v>276</v>
      </c>
      <c r="Q4" t="s">
        <v>270</v>
      </c>
      <c r="R4" t="s">
        <v>277</v>
      </c>
      <c r="S4" t="s">
        <v>278</v>
      </c>
      <c r="Y4" t="s">
        <v>254</v>
      </c>
      <c r="Z4" t="s">
        <v>278</v>
      </c>
    </row>
    <row r="5" spans="1:26" ht="15.75" x14ac:dyDescent="0.25">
      <c r="A5" s="423"/>
      <c r="B5" s="432"/>
      <c r="C5">
        <v>2</v>
      </c>
      <c r="D5" s="447" t="s">
        <v>75</v>
      </c>
      <c r="E5">
        <v>2200</v>
      </c>
      <c r="F5">
        <v>70</v>
      </c>
      <c r="G5" t="s">
        <v>274</v>
      </c>
      <c r="H5" t="s">
        <v>274</v>
      </c>
      <c r="I5" s="423"/>
      <c r="L5" t="s">
        <v>274</v>
      </c>
      <c r="N5">
        <v>0.2</v>
      </c>
      <c r="O5">
        <f>N5*$E$4</f>
        <v>440</v>
      </c>
      <c r="P5">
        <f>$E$4</f>
        <v>2200</v>
      </c>
      <c r="Q5">
        <f>$F$4</f>
        <v>70</v>
      </c>
      <c r="R5">
        <f>Q5*S5</f>
        <v>69.998312663777185</v>
      </c>
      <c r="S5">
        <f>1/(1+0.312*N5^5.883)</f>
        <v>0.99997589519681684</v>
      </c>
      <c r="W5" t="s">
        <v>274</v>
      </c>
      <c r="Y5" s="444">
        <v>0.2</v>
      </c>
      <c r="Z5" s="445">
        <v>0.99997589519681684</v>
      </c>
    </row>
    <row r="6" spans="1:26" ht="15.75" x14ac:dyDescent="0.25">
      <c r="A6" s="423"/>
      <c r="B6" s="432"/>
      <c r="C6">
        <v>3</v>
      </c>
      <c r="D6" s="447" t="s">
        <v>31</v>
      </c>
      <c r="E6">
        <v>1800</v>
      </c>
      <c r="F6">
        <v>45</v>
      </c>
      <c r="G6" t="s">
        <v>279</v>
      </c>
      <c r="H6" t="s">
        <v>279</v>
      </c>
      <c r="I6" s="423"/>
      <c r="N6">
        <v>0.3</v>
      </c>
      <c r="O6">
        <f t="shared" ref="O6:O23" si="0">N6*$E$4</f>
        <v>660</v>
      </c>
      <c r="P6">
        <f t="shared" ref="P6:P23" si="1">$E$4</f>
        <v>2200</v>
      </c>
      <c r="Q6">
        <f t="shared" ref="Q6:Q23" si="2">$F$4</f>
        <v>70</v>
      </c>
      <c r="R6">
        <f t="shared" ref="R6:R61" si="3">Q6*S6</f>
        <v>69.981675030150456</v>
      </c>
      <c r="S6">
        <f>1/(1+0.312*N6^5.883)</f>
        <v>0.99973821471643498</v>
      </c>
      <c r="Y6" s="444">
        <v>0.3</v>
      </c>
      <c r="Z6" s="445">
        <v>0.99973821471643498</v>
      </c>
    </row>
    <row r="7" spans="1:26" ht="15.75" x14ac:dyDescent="0.25">
      <c r="A7" s="423"/>
      <c r="B7" s="432"/>
      <c r="C7">
        <v>4</v>
      </c>
      <c r="D7" s="447" t="s">
        <v>70</v>
      </c>
      <c r="E7">
        <v>1600</v>
      </c>
      <c r="F7">
        <v>40</v>
      </c>
      <c r="G7" t="s">
        <v>280</v>
      </c>
      <c r="H7" t="s">
        <v>279</v>
      </c>
      <c r="I7" s="423"/>
      <c r="N7">
        <v>0.5</v>
      </c>
      <c r="O7">
        <f t="shared" si="0"/>
        <v>1100</v>
      </c>
      <c r="P7">
        <f t="shared" si="1"/>
        <v>2200</v>
      </c>
      <c r="Q7">
        <f t="shared" si="2"/>
        <v>70</v>
      </c>
      <c r="R7">
        <f t="shared" si="3"/>
        <v>69.631868332805496</v>
      </c>
      <c r="S7">
        <f t="shared" ref="S7:S61" si="4">1/(1+0.312*N7^5.883)</f>
        <v>0.99474097618293567</v>
      </c>
      <c r="Y7" s="444">
        <v>0.5</v>
      </c>
      <c r="Z7" s="445">
        <v>0.99474097618293567</v>
      </c>
    </row>
    <row r="8" spans="1:26" ht="15.75" x14ac:dyDescent="0.25">
      <c r="A8" s="423"/>
      <c r="B8" s="432"/>
      <c r="C8">
        <v>5</v>
      </c>
      <c r="D8" s="447" t="s">
        <v>68</v>
      </c>
      <c r="E8">
        <v>1600</v>
      </c>
      <c r="F8">
        <v>35</v>
      </c>
      <c r="G8" t="s">
        <v>279</v>
      </c>
      <c r="H8" t="s">
        <v>279</v>
      </c>
      <c r="I8" s="423"/>
      <c r="N8">
        <v>0.7</v>
      </c>
      <c r="O8">
        <f t="shared" si="0"/>
        <v>1540</v>
      </c>
      <c r="P8">
        <f t="shared" si="1"/>
        <v>2200</v>
      </c>
      <c r="Q8">
        <f t="shared" si="2"/>
        <v>70</v>
      </c>
      <c r="R8">
        <f t="shared" si="3"/>
        <v>67.419797411401731</v>
      </c>
      <c r="S8">
        <f t="shared" si="4"/>
        <v>0.9631399630200248</v>
      </c>
      <c r="Y8" s="444">
        <v>0.7</v>
      </c>
      <c r="Z8" s="445">
        <v>0.9631399630200248</v>
      </c>
    </row>
    <row r="9" spans="1:26" x14ac:dyDescent="0.25">
      <c r="A9" s="423"/>
      <c r="B9" s="432"/>
      <c r="C9">
        <v>6</v>
      </c>
      <c r="I9" s="423"/>
      <c r="N9">
        <v>0.8</v>
      </c>
      <c r="O9">
        <f t="shared" si="0"/>
        <v>1760</v>
      </c>
      <c r="P9">
        <f t="shared" si="1"/>
        <v>2200</v>
      </c>
      <c r="Q9">
        <f t="shared" si="2"/>
        <v>70</v>
      </c>
      <c r="R9">
        <f t="shared" si="3"/>
        <v>64.578482971657436</v>
      </c>
      <c r="S9">
        <f t="shared" si="4"/>
        <v>0.92254975673796347</v>
      </c>
      <c r="Y9" s="444">
        <v>0.8</v>
      </c>
      <c r="Z9" s="445">
        <v>0.92254975673796347</v>
      </c>
    </row>
    <row r="10" spans="1:26" x14ac:dyDescent="0.25">
      <c r="A10" s="423"/>
      <c r="B10" s="432"/>
      <c r="C10" s="432"/>
      <c r="D10" s="432"/>
      <c r="E10" s="432"/>
      <c r="F10" s="432"/>
      <c r="G10" s="432"/>
      <c r="H10" s="421"/>
      <c r="I10" s="423"/>
      <c r="N10">
        <v>0.9</v>
      </c>
      <c r="O10">
        <f t="shared" si="0"/>
        <v>1980</v>
      </c>
      <c r="P10">
        <f t="shared" si="1"/>
        <v>2200</v>
      </c>
      <c r="Q10">
        <f t="shared" si="2"/>
        <v>70</v>
      </c>
      <c r="R10">
        <f t="shared" si="3"/>
        <v>59.938372726849288</v>
      </c>
      <c r="S10">
        <f t="shared" si="4"/>
        <v>0.85626246752641844</v>
      </c>
      <c r="U10">
        <f>+S10*Q10</f>
        <v>59.938372726849288</v>
      </c>
      <c r="Y10" s="444">
        <v>0.9</v>
      </c>
      <c r="Z10" s="445">
        <v>0.85626246752641844</v>
      </c>
    </row>
    <row r="11" spans="1:26" x14ac:dyDescent="0.25">
      <c r="A11" s="423"/>
      <c r="B11" s="433"/>
      <c r="C11" s="434"/>
      <c r="D11" s="434"/>
      <c r="E11" s="434"/>
      <c r="F11" s="434"/>
      <c r="G11" s="434"/>
      <c r="H11" s="421"/>
      <c r="I11" s="423"/>
      <c r="N11">
        <v>1</v>
      </c>
      <c r="O11">
        <f t="shared" si="0"/>
        <v>2200</v>
      </c>
      <c r="P11">
        <f t="shared" si="1"/>
        <v>2200</v>
      </c>
      <c r="Q11">
        <f t="shared" si="2"/>
        <v>70</v>
      </c>
      <c r="R11">
        <f t="shared" si="3"/>
        <v>53.353658536585364</v>
      </c>
      <c r="S11">
        <f t="shared" si="4"/>
        <v>0.76219512195121952</v>
      </c>
      <c r="Y11" s="444">
        <v>1</v>
      </c>
      <c r="Z11" s="445">
        <v>0.76219512195121952</v>
      </c>
    </row>
    <row r="12" spans="1:26" x14ac:dyDescent="0.25">
      <c r="A12" s="423"/>
      <c r="B12" s="435"/>
      <c r="C12" s="436"/>
      <c r="D12" s="436"/>
      <c r="E12" s="436"/>
      <c r="F12" s="436"/>
      <c r="G12" s="436"/>
      <c r="H12" s="421"/>
      <c r="I12" s="423"/>
      <c r="N12">
        <v>1.1000000000000001</v>
      </c>
      <c r="O12">
        <f t="shared" si="0"/>
        <v>2420</v>
      </c>
      <c r="P12">
        <f t="shared" si="1"/>
        <v>2200</v>
      </c>
      <c r="Q12">
        <f t="shared" si="2"/>
        <v>70</v>
      </c>
      <c r="R12">
        <f t="shared" si="3"/>
        <v>45.260640325497619</v>
      </c>
      <c r="S12">
        <f t="shared" si="4"/>
        <v>0.64658057607853736</v>
      </c>
      <c r="Y12" s="444">
        <v>1.1000000000000001</v>
      </c>
      <c r="Z12" s="445">
        <v>0.64658057607853736</v>
      </c>
    </row>
    <row r="13" spans="1:26" x14ac:dyDescent="0.25">
      <c r="A13" s="423"/>
      <c r="B13" s="435"/>
      <c r="C13" s="436"/>
      <c r="D13" s="436"/>
      <c r="E13" s="436"/>
      <c r="F13" s="436"/>
      <c r="G13" s="436"/>
      <c r="H13" s="421"/>
      <c r="I13" s="423"/>
      <c r="N13">
        <v>1.2</v>
      </c>
      <c r="O13">
        <f t="shared" si="0"/>
        <v>2640</v>
      </c>
      <c r="P13">
        <f t="shared" si="1"/>
        <v>2200</v>
      </c>
      <c r="Q13">
        <f t="shared" si="2"/>
        <v>70</v>
      </c>
      <c r="R13">
        <f t="shared" si="3"/>
        <v>36.611561175431625</v>
      </c>
      <c r="S13">
        <f t="shared" si="4"/>
        <v>0.5230223025061661</v>
      </c>
      <c r="Y13" s="444">
        <v>1.2</v>
      </c>
      <c r="Z13" s="445">
        <v>0.5230223025061661</v>
      </c>
    </row>
    <row r="14" spans="1:26" x14ac:dyDescent="0.25">
      <c r="A14" s="423"/>
      <c r="B14" s="435"/>
      <c r="C14" s="436"/>
      <c r="D14" s="436"/>
      <c r="E14" s="436"/>
      <c r="F14" s="436"/>
      <c r="G14" s="436"/>
      <c r="H14" s="421"/>
      <c r="I14" s="423"/>
      <c r="N14">
        <v>1.4</v>
      </c>
      <c r="O14">
        <f t="shared" si="0"/>
        <v>3080</v>
      </c>
      <c r="P14">
        <f t="shared" si="1"/>
        <v>2200</v>
      </c>
      <c r="Q14">
        <f t="shared" si="2"/>
        <v>70</v>
      </c>
      <c r="R14">
        <f t="shared" si="3"/>
        <v>21.482080568035119</v>
      </c>
      <c r="S14">
        <f t="shared" si="4"/>
        <v>0.30688686525764458</v>
      </c>
      <c r="Y14" s="444">
        <v>1.4</v>
      </c>
      <c r="Z14" s="445">
        <v>0.30688686525764458</v>
      </c>
    </row>
    <row r="15" spans="1:26" x14ac:dyDescent="0.25">
      <c r="A15" s="423"/>
      <c r="B15" s="433"/>
      <c r="C15" s="437"/>
      <c r="D15" s="437"/>
      <c r="E15" s="437"/>
      <c r="F15" s="437"/>
      <c r="G15" s="437"/>
      <c r="H15" s="421"/>
      <c r="I15" s="423"/>
      <c r="N15">
        <v>1.6</v>
      </c>
      <c r="O15">
        <f t="shared" si="0"/>
        <v>3520</v>
      </c>
      <c r="P15">
        <f t="shared" si="1"/>
        <v>2200</v>
      </c>
      <c r="Q15">
        <f t="shared" si="2"/>
        <v>70</v>
      </c>
      <c r="R15">
        <f t="shared" si="3"/>
        <v>11.755981166513788</v>
      </c>
      <c r="S15">
        <f t="shared" si="4"/>
        <v>0.16794258809305412</v>
      </c>
      <c r="Y15" s="444">
        <v>1.6</v>
      </c>
      <c r="Z15" s="445">
        <v>0.16794258809305412</v>
      </c>
    </row>
    <row r="16" spans="1:26" x14ac:dyDescent="0.25">
      <c r="A16" s="423"/>
      <c r="B16" s="435"/>
      <c r="C16" s="436"/>
      <c r="D16" s="436"/>
      <c r="E16" s="436"/>
      <c r="F16" s="436"/>
      <c r="G16" s="436"/>
      <c r="H16" s="421"/>
      <c r="I16" s="423"/>
      <c r="N16">
        <v>1.8</v>
      </c>
      <c r="O16">
        <f t="shared" si="0"/>
        <v>3960</v>
      </c>
      <c r="P16">
        <f t="shared" si="1"/>
        <v>2200</v>
      </c>
      <c r="Q16">
        <f t="shared" si="2"/>
        <v>70</v>
      </c>
      <c r="R16">
        <f t="shared" si="3"/>
        <v>6.4181574598521092</v>
      </c>
      <c r="S16">
        <f t="shared" si="4"/>
        <v>9.1687963712172985E-2</v>
      </c>
      <c r="Y16" s="444">
        <v>1.8</v>
      </c>
      <c r="Z16" s="445">
        <v>9.1687963712172985E-2</v>
      </c>
    </row>
    <row r="17" spans="1:26" x14ac:dyDescent="0.25">
      <c r="A17" s="423"/>
      <c r="B17" s="435"/>
      <c r="C17" s="436"/>
      <c r="D17" s="436"/>
      <c r="E17" s="436"/>
      <c r="F17" s="436"/>
      <c r="G17" s="436"/>
      <c r="H17" s="421"/>
      <c r="I17" s="423"/>
      <c r="N17">
        <v>2</v>
      </c>
      <c r="O17">
        <f t="shared" si="0"/>
        <v>4400</v>
      </c>
      <c r="P17">
        <f t="shared" si="1"/>
        <v>2200</v>
      </c>
      <c r="Q17">
        <f t="shared" si="2"/>
        <v>70</v>
      </c>
      <c r="R17">
        <f t="shared" si="3"/>
        <v>3.6059137907981853</v>
      </c>
      <c r="S17">
        <f t="shared" si="4"/>
        <v>5.1513054154259788E-2</v>
      </c>
      <c r="Y17" s="444">
        <v>2</v>
      </c>
      <c r="Z17" s="445">
        <v>5.1513054154259788E-2</v>
      </c>
    </row>
    <row r="18" spans="1:26" x14ac:dyDescent="0.25">
      <c r="A18" s="423"/>
      <c r="B18" s="435"/>
      <c r="C18" s="436"/>
      <c r="D18" s="436"/>
      <c r="E18" s="436"/>
      <c r="F18" s="436"/>
      <c r="G18" s="436"/>
      <c r="H18" s="421"/>
      <c r="I18" s="423"/>
      <c r="N18">
        <v>2.5</v>
      </c>
      <c r="O18">
        <f t="shared" si="0"/>
        <v>5500</v>
      </c>
      <c r="P18">
        <f t="shared" si="1"/>
        <v>2200</v>
      </c>
      <c r="Q18">
        <f t="shared" si="2"/>
        <v>70</v>
      </c>
      <c r="R18">
        <f t="shared" si="3"/>
        <v>1.0082345903990879</v>
      </c>
      <c r="S18">
        <f t="shared" si="4"/>
        <v>1.4403351291415541E-2</v>
      </c>
      <c r="Y18" s="444">
        <v>2.5</v>
      </c>
      <c r="Z18" s="445">
        <v>1.4403351291415541E-2</v>
      </c>
    </row>
    <row r="19" spans="1:26" x14ac:dyDescent="0.25">
      <c r="A19" s="423"/>
      <c r="B19" s="435"/>
      <c r="C19" s="436"/>
      <c r="D19" s="436"/>
      <c r="E19" s="436"/>
      <c r="F19" s="436"/>
      <c r="G19" s="436"/>
      <c r="H19" s="421"/>
      <c r="I19" s="423"/>
      <c r="N19">
        <v>3</v>
      </c>
      <c r="O19">
        <f t="shared" si="0"/>
        <v>6600</v>
      </c>
      <c r="P19">
        <f t="shared" si="1"/>
        <v>2200</v>
      </c>
      <c r="Q19">
        <f t="shared" si="2"/>
        <v>70</v>
      </c>
      <c r="R19">
        <f t="shared" si="3"/>
        <v>0.34823561593970048</v>
      </c>
      <c r="S19">
        <f t="shared" si="4"/>
        <v>4.9747945134242929E-3</v>
      </c>
      <c r="Y19" s="444">
        <v>3</v>
      </c>
      <c r="Z19" s="445">
        <v>4.9747945134242929E-3</v>
      </c>
    </row>
    <row r="20" spans="1:26" x14ac:dyDescent="0.25">
      <c r="A20" s="423"/>
      <c r="B20" s="435"/>
      <c r="C20" s="436"/>
      <c r="D20" s="436"/>
      <c r="E20" s="436"/>
      <c r="F20" s="436"/>
      <c r="G20" s="436"/>
      <c r="H20" s="421"/>
      <c r="I20" s="423"/>
      <c r="N20">
        <v>4</v>
      </c>
      <c r="O20">
        <f t="shared" si="0"/>
        <v>8800</v>
      </c>
      <c r="P20">
        <f t="shared" si="1"/>
        <v>2200</v>
      </c>
      <c r="Q20">
        <f t="shared" si="2"/>
        <v>70</v>
      </c>
      <c r="R20">
        <f t="shared" si="3"/>
        <v>6.4361331819315415E-2</v>
      </c>
      <c r="S20">
        <f t="shared" si="4"/>
        <v>9.1944759741879162E-4</v>
      </c>
      <c r="Y20" s="444">
        <v>4</v>
      </c>
      <c r="Z20" s="445">
        <v>9.1944759741879162E-4</v>
      </c>
    </row>
    <row r="21" spans="1:26" x14ac:dyDescent="0.25">
      <c r="A21" s="423"/>
      <c r="B21" s="433"/>
      <c r="C21" s="437"/>
      <c r="D21" s="437"/>
      <c r="E21" s="437"/>
      <c r="F21" s="437"/>
      <c r="G21" s="437"/>
      <c r="H21" s="421"/>
      <c r="I21" s="423"/>
      <c r="N21">
        <v>5</v>
      </c>
      <c r="O21">
        <f t="shared" si="0"/>
        <v>11000</v>
      </c>
      <c r="P21">
        <f t="shared" si="1"/>
        <v>2200</v>
      </c>
      <c r="Q21">
        <f t="shared" si="2"/>
        <v>70</v>
      </c>
      <c r="R21">
        <f t="shared" si="3"/>
        <v>1.7329872960520992E-2</v>
      </c>
      <c r="S21">
        <f t="shared" si="4"/>
        <v>2.4756961372172844E-4</v>
      </c>
      <c r="Y21" s="444">
        <v>5</v>
      </c>
      <c r="Z21" s="445">
        <v>2.4756961372172844E-4</v>
      </c>
    </row>
    <row r="22" spans="1:26" x14ac:dyDescent="0.25">
      <c r="A22" s="423"/>
      <c r="B22" s="435"/>
      <c r="C22" s="436"/>
      <c r="D22" s="436"/>
      <c r="E22" s="436"/>
      <c r="F22" s="436"/>
      <c r="G22" s="436"/>
      <c r="H22" s="421"/>
      <c r="I22" s="423"/>
      <c r="N22">
        <v>6</v>
      </c>
      <c r="O22">
        <f t="shared" si="0"/>
        <v>13200</v>
      </c>
      <c r="P22">
        <f t="shared" si="1"/>
        <v>2200</v>
      </c>
      <c r="Q22">
        <f t="shared" si="2"/>
        <v>70</v>
      </c>
      <c r="R22">
        <f t="shared" si="3"/>
        <v>5.9298382683482332E-3</v>
      </c>
      <c r="S22">
        <f t="shared" si="4"/>
        <v>8.4711975262117615E-5</v>
      </c>
      <c r="Y22" s="444">
        <v>6</v>
      </c>
      <c r="Z22" s="445">
        <v>8.4711975262117615E-5</v>
      </c>
    </row>
    <row r="23" spans="1:26" x14ac:dyDescent="0.25">
      <c r="A23" s="423"/>
      <c r="B23" s="435"/>
      <c r="C23" s="436"/>
      <c r="D23" s="436"/>
      <c r="E23" s="436"/>
      <c r="F23" s="436"/>
      <c r="G23" s="436"/>
      <c r="H23" s="421"/>
      <c r="I23" s="423"/>
      <c r="N23">
        <v>12</v>
      </c>
      <c r="O23">
        <f t="shared" si="0"/>
        <v>26400</v>
      </c>
      <c r="P23">
        <f t="shared" si="1"/>
        <v>2200</v>
      </c>
      <c r="Q23">
        <f t="shared" si="2"/>
        <v>70</v>
      </c>
      <c r="R23">
        <f t="shared" si="3"/>
        <v>1.004892377722772E-4</v>
      </c>
      <c r="S23">
        <f t="shared" si="4"/>
        <v>1.4355605396039601E-6</v>
      </c>
      <c r="Y23" s="444">
        <v>12</v>
      </c>
      <c r="Z23" s="445">
        <v>1.4355605396039601E-6</v>
      </c>
    </row>
    <row r="24" spans="1:26" x14ac:dyDescent="0.25">
      <c r="A24" s="423"/>
      <c r="B24" s="435"/>
      <c r="C24" s="436"/>
      <c r="D24" s="436"/>
      <c r="E24" s="436"/>
      <c r="F24" s="436"/>
      <c r="G24" s="436"/>
      <c r="H24" s="421"/>
      <c r="I24" s="423"/>
      <c r="L24" t="s">
        <v>279</v>
      </c>
      <c r="N24">
        <v>0.2</v>
      </c>
      <c r="O24">
        <f>N24*$E$6</f>
        <v>360</v>
      </c>
      <c r="P24">
        <f>$E$6</f>
        <v>1800</v>
      </c>
      <c r="Q24">
        <f>$F$6</f>
        <v>45</v>
      </c>
      <c r="R24">
        <f>Q24*S24</f>
        <v>44.816012909134955</v>
      </c>
      <c r="S24">
        <f>1/(1+0.514*N24^3.001)</f>
        <v>0.99591139798077677</v>
      </c>
      <c r="W24" t="s">
        <v>279</v>
      </c>
      <c r="Y24" s="444">
        <v>0.2</v>
      </c>
      <c r="Z24" s="445">
        <v>0.99591139798077677</v>
      </c>
    </row>
    <row r="25" spans="1:26" x14ac:dyDescent="0.25">
      <c r="A25" s="423"/>
      <c r="B25" s="433"/>
      <c r="C25" s="437"/>
      <c r="D25" s="437"/>
      <c r="E25" s="437"/>
      <c r="F25" s="437"/>
      <c r="G25" s="437"/>
      <c r="H25" s="421"/>
      <c r="I25" s="423"/>
      <c r="N25">
        <v>0.3</v>
      </c>
      <c r="O25">
        <f t="shared" ref="O25:O42" si="5">N25*$E$6</f>
        <v>540</v>
      </c>
      <c r="P25">
        <f t="shared" ref="P25:P42" si="6">$E$6</f>
        <v>1800</v>
      </c>
      <c r="Q25">
        <f t="shared" ref="Q25:Q42" si="7">$F$6</f>
        <v>45</v>
      </c>
      <c r="R25">
        <f t="shared" si="3"/>
        <v>44.38476933819274</v>
      </c>
      <c r="S25">
        <f t="shared" ref="S25:S42" si="8">1/(1+0.514*N25^3.001)</f>
        <v>0.98632820751539418</v>
      </c>
      <c r="Y25" s="444">
        <v>0.3</v>
      </c>
      <c r="Z25" s="445">
        <v>0.98632820751539418</v>
      </c>
    </row>
    <row r="26" spans="1:26" x14ac:dyDescent="0.25">
      <c r="A26" s="423"/>
      <c r="B26" s="435"/>
      <c r="C26" s="436"/>
      <c r="D26" s="436"/>
      <c r="E26" s="436"/>
      <c r="F26" s="436"/>
      <c r="G26" s="436"/>
      <c r="H26" s="421"/>
      <c r="I26" s="423"/>
      <c r="N26">
        <v>0.5</v>
      </c>
      <c r="O26">
        <f t="shared" si="5"/>
        <v>900</v>
      </c>
      <c r="P26">
        <f t="shared" si="6"/>
        <v>1800</v>
      </c>
      <c r="Q26">
        <f t="shared" si="7"/>
        <v>45</v>
      </c>
      <c r="R26">
        <f t="shared" si="3"/>
        <v>42.285066949062028</v>
      </c>
      <c r="S26">
        <f t="shared" si="8"/>
        <v>0.93966815442360063</v>
      </c>
      <c r="Y26" s="444">
        <v>0.5</v>
      </c>
      <c r="Z26" s="445">
        <v>0.93966815442360063</v>
      </c>
    </row>
    <row r="27" spans="1:26" x14ac:dyDescent="0.25">
      <c r="A27" s="423"/>
      <c r="B27" s="433"/>
      <c r="C27" s="437"/>
      <c r="D27" s="437"/>
      <c r="E27" s="437"/>
      <c r="F27" s="437"/>
      <c r="G27" s="437"/>
      <c r="H27" s="421"/>
      <c r="I27" s="423"/>
      <c r="N27">
        <v>0.7</v>
      </c>
      <c r="O27">
        <f t="shared" si="5"/>
        <v>1260</v>
      </c>
      <c r="P27">
        <f t="shared" si="6"/>
        <v>1800</v>
      </c>
      <c r="Q27">
        <f t="shared" si="7"/>
        <v>45</v>
      </c>
      <c r="R27">
        <f t="shared" si="3"/>
        <v>38.257526808742277</v>
      </c>
      <c r="S27">
        <f t="shared" si="8"/>
        <v>0.8501672624164951</v>
      </c>
      <c r="Y27" s="444">
        <v>0.7</v>
      </c>
      <c r="Z27" s="445">
        <v>0.8501672624164951</v>
      </c>
    </row>
    <row r="28" spans="1:26" x14ac:dyDescent="0.25">
      <c r="A28" s="423"/>
      <c r="B28" s="435"/>
      <c r="C28" s="436"/>
      <c r="D28" s="436"/>
      <c r="E28" s="436"/>
      <c r="F28" s="436"/>
      <c r="G28" s="436"/>
      <c r="H28" s="421"/>
      <c r="I28" s="423"/>
      <c r="N28">
        <v>0.8</v>
      </c>
      <c r="O28">
        <f t="shared" si="5"/>
        <v>1440</v>
      </c>
      <c r="P28">
        <f t="shared" si="6"/>
        <v>1800</v>
      </c>
      <c r="Q28">
        <f t="shared" si="7"/>
        <v>45</v>
      </c>
      <c r="R28">
        <f t="shared" si="3"/>
        <v>35.626371075134202</v>
      </c>
      <c r="S28">
        <f t="shared" si="8"/>
        <v>0.79169713500298222</v>
      </c>
      <c r="Y28" s="444">
        <v>0.8</v>
      </c>
      <c r="Z28" s="445">
        <v>0.79169713500298222</v>
      </c>
    </row>
    <row r="29" spans="1:26" x14ac:dyDescent="0.25">
      <c r="A29" s="423"/>
      <c r="B29" s="435"/>
      <c r="C29" s="436"/>
      <c r="D29" s="436"/>
      <c r="E29" s="436"/>
      <c r="F29" s="436"/>
      <c r="G29" s="436"/>
      <c r="H29" s="421"/>
      <c r="I29" s="423"/>
      <c r="N29">
        <v>0.9</v>
      </c>
      <c r="O29">
        <f t="shared" si="5"/>
        <v>1620</v>
      </c>
      <c r="P29">
        <f t="shared" si="6"/>
        <v>1800</v>
      </c>
      <c r="Q29">
        <f t="shared" si="7"/>
        <v>45</v>
      </c>
      <c r="R29">
        <f t="shared" si="3"/>
        <v>32.735211959844101</v>
      </c>
      <c r="S29">
        <f t="shared" si="8"/>
        <v>0.72744915466320226</v>
      </c>
      <c r="Y29" s="444">
        <v>0.9</v>
      </c>
      <c r="Z29" s="445">
        <v>0.72744915466320226</v>
      </c>
    </row>
    <row r="30" spans="1:26" x14ac:dyDescent="0.25">
      <c r="A30" s="423"/>
      <c r="B30" s="435"/>
      <c r="C30" s="436"/>
      <c r="D30" s="436"/>
      <c r="E30" s="436"/>
      <c r="F30" s="436"/>
      <c r="G30" s="436"/>
      <c r="H30" s="421"/>
      <c r="I30" s="423"/>
      <c r="N30">
        <v>1</v>
      </c>
      <c r="O30">
        <f t="shared" si="5"/>
        <v>1800</v>
      </c>
      <c r="P30">
        <f t="shared" si="6"/>
        <v>1800</v>
      </c>
      <c r="Q30">
        <f t="shared" si="7"/>
        <v>45</v>
      </c>
      <c r="R30">
        <f t="shared" si="3"/>
        <v>29.722589167767502</v>
      </c>
      <c r="S30">
        <f t="shared" si="8"/>
        <v>0.66050198150594452</v>
      </c>
      <c r="Y30" s="444">
        <v>1</v>
      </c>
      <c r="Z30" s="445">
        <v>0.66050198150594452</v>
      </c>
    </row>
    <row r="31" spans="1:26" x14ac:dyDescent="0.25">
      <c r="A31" s="423"/>
      <c r="B31" s="433"/>
      <c r="C31" s="437"/>
      <c r="D31" s="437"/>
      <c r="E31" s="437"/>
      <c r="F31" s="437"/>
      <c r="G31" s="437"/>
      <c r="H31" s="421"/>
      <c r="I31" s="423"/>
      <c r="N31">
        <v>1.1000000000000001</v>
      </c>
      <c r="O31">
        <f t="shared" si="5"/>
        <v>1980.0000000000002</v>
      </c>
      <c r="P31">
        <f t="shared" si="6"/>
        <v>1800</v>
      </c>
      <c r="Q31">
        <f t="shared" si="7"/>
        <v>45</v>
      </c>
      <c r="R31">
        <f t="shared" si="3"/>
        <v>26.718929557220118</v>
      </c>
      <c r="S31">
        <f t="shared" si="8"/>
        <v>0.59375399016044705</v>
      </c>
      <c r="Y31" s="444">
        <v>1.1000000000000001</v>
      </c>
      <c r="Z31" s="445">
        <v>0.59375399016044705</v>
      </c>
    </row>
    <row r="32" spans="1:26" x14ac:dyDescent="0.25">
      <c r="A32" s="423"/>
      <c r="B32" s="435"/>
      <c r="C32" s="436"/>
      <c r="D32" s="436"/>
      <c r="E32" s="436"/>
      <c r="F32" s="436"/>
      <c r="G32" s="436"/>
      <c r="H32" s="421"/>
      <c r="I32" s="423"/>
      <c r="N32">
        <v>1.2</v>
      </c>
      <c r="O32">
        <f t="shared" si="5"/>
        <v>2160</v>
      </c>
      <c r="P32">
        <f t="shared" si="6"/>
        <v>1800</v>
      </c>
      <c r="Q32">
        <f t="shared" si="7"/>
        <v>45</v>
      </c>
      <c r="R32">
        <f t="shared" si="3"/>
        <v>23.830278200096238</v>
      </c>
      <c r="S32">
        <f t="shared" si="8"/>
        <v>0.52956173777991644</v>
      </c>
      <c r="Y32" s="444">
        <v>1.2</v>
      </c>
      <c r="Z32" s="445">
        <v>0.52956173777991644</v>
      </c>
    </row>
    <row r="33" spans="1:26" x14ac:dyDescent="0.25">
      <c r="A33" s="423"/>
      <c r="B33" s="435"/>
      <c r="C33" s="436"/>
      <c r="D33" s="436"/>
      <c r="E33" s="436"/>
      <c r="F33" s="436"/>
      <c r="G33" s="436"/>
      <c r="H33" s="421"/>
      <c r="I33" s="423"/>
      <c r="N33">
        <v>1.4</v>
      </c>
      <c r="O33">
        <f t="shared" si="5"/>
        <v>2520</v>
      </c>
      <c r="P33">
        <f t="shared" si="6"/>
        <v>1800</v>
      </c>
      <c r="Q33">
        <f t="shared" si="7"/>
        <v>45</v>
      </c>
      <c r="R33">
        <f t="shared" si="3"/>
        <v>18.665301174378527</v>
      </c>
      <c r="S33">
        <f t="shared" si="8"/>
        <v>0.41478447054174505</v>
      </c>
      <c r="Y33" s="444">
        <v>1.4</v>
      </c>
      <c r="Z33" s="445">
        <v>0.41478447054174505</v>
      </c>
    </row>
    <row r="34" spans="1:26" x14ac:dyDescent="0.25">
      <c r="A34" s="423"/>
      <c r="B34" s="435"/>
      <c r="C34" s="436"/>
      <c r="D34" s="436"/>
      <c r="E34" s="436"/>
      <c r="F34" s="436"/>
      <c r="G34" s="436"/>
      <c r="H34" s="421"/>
      <c r="I34" s="423"/>
      <c r="N34">
        <v>1.6</v>
      </c>
      <c r="O34">
        <f t="shared" si="5"/>
        <v>2880</v>
      </c>
      <c r="P34">
        <f t="shared" si="6"/>
        <v>1800</v>
      </c>
      <c r="Q34">
        <f t="shared" si="7"/>
        <v>45</v>
      </c>
      <c r="R34">
        <f t="shared" si="3"/>
        <v>14.486530937808062</v>
      </c>
      <c r="S34">
        <f t="shared" si="8"/>
        <v>0.32192290972906806</v>
      </c>
      <c r="Y34" s="444">
        <v>1.6</v>
      </c>
      <c r="Z34" s="445">
        <v>0.32192290972906806</v>
      </c>
    </row>
    <row r="35" spans="1:26" x14ac:dyDescent="0.25">
      <c r="A35" s="423"/>
      <c r="B35" s="438"/>
      <c r="C35" s="437"/>
      <c r="D35" s="437"/>
      <c r="E35" s="437"/>
      <c r="F35" s="437"/>
      <c r="G35" s="437"/>
      <c r="H35" s="421"/>
      <c r="I35" s="423"/>
      <c r="N35">
        <v>1.8</v>
      </c>
      <c r="O35">
        <f t="shared" si="5"/>
        <v>3240</v>
      </c>
      <c r="P35">
        <f t="shared" si="6"/>
        <v>1800</v>
      </c>
      <c r="Q35">
        <f t="shared" si="7"/>
        <v>45</v>
      </c>
      <c r="R35">
        <f t="shared" si="3"/>
        <v>11.251658225914646</v>
      </c>
      <c r="S35">
        <f t="shared" si="8"/>
        <v>0.25003684946476989</v>
      </c>
      <c r="Y35" s="444">
        <v>1.8</v>
      </c>
      <c r="Z35" s="445">
        <v>0.25003684946476989</v>
      </c>
    </row>
    <row r="36" spans="1:26" x14ac:dyDescent="0.25">
      <c r="A36" s="423"/>
      <c r="B36" s="432"/>
      <c r="C36" s="432"/>
      <c r="D36" s="432"/>
      <c r="E36" s="432"/>
      <c r="F36" s="432"/>
      <c r="G36" s="432"/>
      <c r="H36" s="421"/>
      <c r="I36" s="423"/>
      <c r="N36">
        <v>2</v>
      </c>
      <c r="O36">
        <f t="shared" si="5"/>
        <v>3600</v>
      </c>
      <c r="P36">
        <f t="shared" si="6"/>
        <v>1800</v>
      </c>
      <c r="Q36">
        <f t="shared" si="7"/>
        <v>45</v>
      </c>
      <c r="R36">
        <f t="shared" si="3"/>
        <v>8.7979098822373132</v>
      </c>
      <c r="S36">
        <f t="shared" si="8"/>
        <v>0.1955091084941625</v>
      </c>
      <c r="Y36" s="444">
        <v>2</v>
      </c>
      <c r="Z36" s="445">
        <v>0.1955091084941625</v>
      </c>
    </row>
    <row r="37" spans="1:26" x14ac:dyDescent="0.25">
      <c r="A37" s="423"/>
      <c r="B37" s="435"/>
      <c r="C37" s="435"/>
      <c r="D37" s="435"/>
      <c r="E37" s="435"/>
      <c r="F37" s="435"/>
      <c r="G37" s="435"/>
      <c r="H37" s="421"/>
      <c r="I37" s="423"/>
      <c r="N37">
        <v>2.5</v>
      </c>
      <c r="O37">
        <f t="shared" si="5"/>
        <v>4500</v>
      </c>
      <c r="P37">
        <f t="shared" si="6"/>
        <v>1800</v>
      </c>
      <c r="Q37">
        <f t="shared" si="7"/>
        <v>45</v>
      </c>
      <c r="R37">
        <f t="shared" si="3"/>
        <v>4.9786403426634704</v>
      </c>
      <c r="S37">
        <f t="shared" si="8"/>
        <v>0.11063645205918823</v>
      </c>
      <c r="Y37" s="444">
        <v>2.5</v>
      </c>
      <c r="Z37" s="445">
        <v>0.11063645205918823</v>
      </c>
    </row>
    <row r="38" spans="1:26" x14ac:dyDescent="0.25">
      <c r="A38" s="423"/>
      <c r="B38" s="439"/>
      <c r="C38" s="439"/>
      <c r="D38" s="439"/>
      <c r="E38" s="439"/>
      <c r="F38" s="439"/>
      <c r="G38" s="439"/>
      <c r="H38" s="421"/>
      <c r="I38" s="423"/>
      <c r="N38">
        <v>3</v>
      </c>
      <c r="O38">
        <f t="shared" si="5"/>
        <v>5400</v>
      </c>
      <c r="P38">
        <f t="shared" si="6"/>
        <v>1800</v>
      </c>
      <c r="Q38">
        <f t="shared" si="7"/>
        <v>45</v>
      </c>
      <c r="R38">
        <f t="shared" si="3"/>
        <v>3.021502031855769</v>
      </c>
      <c r="S38">
        <f t="shared" si="8"/>
        <v>6.7144489596794865E-2</v>
      </c>
      <c r="Y38" s="444">
        <v>3</v>
      </c>
      <c r="Z38" s="445">
        <v>6.7144489596794865E-2</v>
      </c>
    </row>
    <row r="39" spans="1:26" x14ac:dyDescent="0.25">
      <c r="A39" s="423"/>
      <c r="B39" s="433"/>
      <c r="C39" s="440"/>
      <c r="D39" s="440"/>
      <c r="E39" s="440"/>
      <c r="F39" s="440"/>
      <c r="G39" s="440"/>
      <c r="H39" s="421"/>
      <c r="I39" s="423"/>
      <c r="N39">
        <v>4</v>
      </c>
      <c r="O39">
        <f t="shared" si="5"/>
        <v>7200</v>
      </c>
      <c r="P39">
        <f t="shared" si="6"/>
        <v>1800</v>
      </c>
      <c r="Q39">
        <f t="shared" si="7"/>
        <v>45</v>
      </c>
      <c r="R39">
        <f t="shared" si="3"/>
        <v>1.3258053061594401</v>
      </c>
      <c r="S39">
        <f t="shared" si="8"/>
        <v>2.9462340136876448E-2</v>
      </c>
      <c r="Y39" s="444">
        <v>4</v>
      </c>
      <c r="Z39" s="445">
        <v>2.9462340136876448E-2</v>
      </c>
    </row>
    <row r="40" spans="1:26" x14ac:dyDescent="0.25">
      <c r="A40" s="423"/>
      <c r="B40" s="441"/>
      <c r="C40" s="441"/>
      <c r="D40" s="441"/>
      <c r="E40" s="441"/>
      <c r="F40" s="441"/>
      <c r="G40" s="441"/>
      <c r="H40" s="442"/>
      <c r="I40" s="423"/>
      <c r="N40">
        <v>5</v>
      </c>
      <c r="O40">
        <f t="shared" si="5"/>
        <v>9000</v>
      </c>
      <c r="P40">
        <f t="shared" si="6"/>
        <v>1800</v>
      </c>
      <c r="Q40">
        <f t="shared" si="7"/>
        <v>45</v>
      </c>
      <c r="R40">
        <f t="shared" si="3"/>
        <v>0.68856307819819607</v>
      </c>
      <c r="S40">
        <f t="shared" si="8"/>
        <v>1.5301401737737691E-2</v>
      </c>
      <c r="Y40" s="444">
        <v>5</v>
      </c>
      <c r="Z40" s="445">
        <v>1.5301401737737691E-2</v>
      </c>
    </row>
    <row r="41" spans="1:26" x14ac:dyDescent="0.25">
      <c r="A41" s="423"/>
      <c r="B41" s="433"/>
      <c r="C41" s="440"/>
      <c r="D41" s="440"/>
      <c r="E41" s="440"/>
      <c r="F41" s="440"/>
      <c r="G41" s="440"/>
      <c r="H41" s="421"/>
      <c r="I41" s="423"/>
      <c r="N41">
        <v>6</v>
      </c>
      <c r="O41">
        <f t="shared" si="5"/>
        <v>10800</v>
      </c>
      <c r="P41">
        <f t="shared" si="6"/>
        <v>1800</v>
      </c>
      <c r="Q41">
        <f t="shared" si="7"/>
        <v>45</v>
      </c>
      <c r="R41">
        <f t="shared" si="3"/>
        <v>0.40098693890301523</v>
      </c>
      <c r="S41">
        <f t="shared" si="8"/>
        <v>8.9108208645114501E-3</v>
      </c>
      <c r="Y41" s="444">
        <v>6</v>
      </c>
      <c r="Z41" s="445">
        <v>8.9108208645114501E-3</v>
      </c>
    </row>
    <row r="42" spans="1:26" x14ac:dyDescent="0.25">
      <c r="A42" s="423"/>
      <c r="B42" s="441"/>
      <c r="C42" s="441"/>
      <c r="D42" s="441"/>
      <c r="E42" s="441"/>
      <c r="F42" s="441"/>
      <c r="G42" s="441"/>
      <c r="H42" s="421"/>
      <c r="I42" s="423"/>
      <c r="N42">
        <v>12</v>
      </c>
      <c r="O42">
        <f t="shared" si="5"/>
        <v>21600</v>
      </c>
      <c r="P42">
        <f t="shared" si="6"/>
        <v>1800</v>
      </c>
      <c r="Q42">
        <f t="shared" si="7"/>
        <v>45</v>
      </c>
      <c r="R42">
        <f t="shared" si="3"/>
        <v>5.0482284260218127E-2</v>
      </c>
      <c r="S42">
        <f t="shared" si="8"/>
        <v>1.1218285391159583E-3</v>
      </c>
      <c r="Y42" s="444">
        <v>12</v>
      </c>
      <c r="Z42" s="445">
        <v>1.1218285391159583E-3</v>
      </c>
    </row>
    <row r="43" spans="1:26" x14ac:dyDescent="0.25">
      <c r="A43" s="423"/>
      <c r="B43" s="433"/>
      <c r="C43" s="440"/>
      <c r="D43" s="440"/>
      <c r="E43" s="440"/>
      <c r="F43" s="440"/>
      <c r="G43" s="440"/>
      <c r="H43" s="421"/>
      <c r="I43" s="423"/>
      <c r="L43" t="s">
        <v>280</v>
      </c>
      <c r="N43">
        <v>0.2</v>
      </c>
      <c r="O43">
        <f>N43*$E$7</f>
        <v>320</v>
      </c>
      <c r="P43">
        <f>$E$7</f>
        <v>1600</v>
      </c>
      <c r="Q43">
        <f>$F$7</f>
        <v>40</v>
      </c>
      <c r="R43">
        <f t="shared" si="3"/>
        <v>39.999035807872673</v>
      </c>
      <c r="S43">
        <f t="shared" si="4"/>
        <v>0.99997589519681684</v>
      </c>
      <c r="W43" t="s">
        <v>280</v>
      </c>
      <c r="Y43" s="444">
        <v>0.2</v>
      </c>
      <c r="Z43" s="445">
        <v>0.99997589519681684</v>
      </c>
    </row>
    <row r="44" spans="1:26" x14ac:dyDescent="0.25">
      <c r="A44" s="423"/>
      <c r="B44" s="443"/>
      <c r="C44" s="443"/>
      <c r="D44" s="443"/>
      <c r="E44" s="443"/>
      <c r="F44" s="443"/>
      <c r="G44" s="443"/>
      <c r="H44" s="421"/>
      <c r="I44" s="423"/>
      <c r="N44">
        <v>0.3</v>
      </c>
      <c r="O44">
        <f t="shared" ref="O44:O61" si="9">N44*$E$7</f>
        <v>480</v>
      </c>
      <c r="P44">
        <f t="shared" ref="P44:P61" si="10">$E$7</f>
        <v>1600</v>
      </c>
      <c r="Q44">
        <f t="shared" ref="Q44:Q61" si="11">$F$7</f>
        <v>40</v>
      </c>
      <c r="R44">
        <f t="shared" si="3"/>
        <v>39.9895285886574</v>
      </c>
      <c r="S44">
        <f t="shared" si="4"/>
        <v>0.99973821471643498</v>
      </c>
      <c r="Y44" s="444">
        <v>0.3</v>
      </c>
      <c r="Z44" s="445">
        <v>0.99973821471643498</v>
      </c>
    </row>
    <row r="45" spans="1:26" x14ac:dyDescent="0.25">
      <c r="A45" s="423"/>
      <c r="B45" s="441"/>
      <c r="C45" s="441"/>
      <c r="D45" s="441"/>
      <c r="E45" s="441"/>
      <c r="F45" s="441"/>
      <c r="G45" s="441"/>
      <c r="H45" s="421"/>
      <c r="I45" s="423"/>
      <c r="N45">
        <v>0.5</v>
      </c>
      <c r="O45">
        <f t="shared" si="9"/>
        <v>800</v>
      </c>
      <c r="P45">
        <f t="shared" si="10"/>
        <v>1600</v>
      </c>
      <c r="Q45">
        <f t="shared" si="11"/>
        <v>40</v>
      </c>
      <c r="R45">
        <f t="shared" si="3"/>
        <v>39.789639047317429</v>
      </c>
      <c r="S45">
        <f t="shared" si="4"/>
        <v>0.99474097618293567</v>
      </c>
      <c r="Y45" s="444">
        <v>0.5</v>
      </c>
      <c r="Z45" s="445">
        <v>0.99474097618293567</v>
      </c>
    </row>
    <row r="46" spans="1:26" x14ac:dyDescent="0.25">
      <c r="A46" s="423"/>
      <c r="B46" s="441"/>
      <c r="C46" s="441"/>
      <c r="D46" s="441"/>
      <c r="E46" s="441"/>
      <c r="F46" s="441"/>
      <c r="G46" s="441"/>
      <c r="H46" s="421"/>
      <c r="I46" s="423"/>
      <c r="N46">
        <v>0.7</v>
      </c>
      <c r="O46">
        <f t="shared" si="9"/>
        <v>1120</v>
      </c>
      <c r="P46">
        <f t="shared" si="10"/>
        <v>1600</v>
      </c>
      <c r="Q46">
        <f t="shared" si="11"/>
        <v>40</v>
      </c>
      <c r="R46">
        <f t="shared" si="3"/>
        <v>38.52559852080099</v>
      </c>
      <c r="S46">
        <f t="shared" si="4"/>
        <v>0.9631399630200248</v>
      </c>
      <c r="Y46" s="444">
        <v>0.7</v>
      </c>
      <c r="Z46" s="445">
        <v>0.9631399630200248</v>
      </c>
    </row>
    <row r="47" spans="1:26" x14ac:dyDescent="0.25">
      <c r="A47" s="423"/>
      <c r="B47" s="421"/>
      <c r="C47" s="421"/>
      <c r="D47" s="421"/>
      <c r="E47" s="421"/>
      <c r="F47" s="421"/>
      <c r="G47" s="421"/>
      <c r="H47" s="421"/>
      <c r="I47" s="423"/>
      <c r="N47">
        <v>0.8</v>
      </c>
      <c r="O47">
        <f t="shared" si="9"/>
        <v>1280</v>
      </c>
      <c r="P47">
        <f t="shared" si="10"/>
        <v>1600</v>
      </c>
      <c r="Q47">
        <f t="shared" si="11"/>
        <v>40</v>
      </c>
      <c r="R47">
        <f t="shared" si="3"/>
        <v>36.901990269518535</v>
      </c>
      <c r="S47">
        <f t="shared" si="4"/>
        <v>0.92254975673796347</v>
      </c>
      <c r="Y47" s="444">
        <v>0.8</v>
      </c>
      <c r="Z47" s="445">
        <v>0.92254975673796347</v>
      </c>
    </row>
    <row r="48" spans="1:26" x14ac:dyDescent="0.25">
      <c r="A48" s="423"/>
      <c r="B48" s="421"/>
      <c r="C48" s="421"/>
      <c r="D48" s="421"/>
      <c r="E48" s="421"/>
      <c r="F48" s="421"/>
      <c r="G48" s="421"/>
      <c r="H48" s="421"/>
      <c r="I48" s="423"/>
      <c r="N48">
        <v>0.9</v>
      </c>
      <c r="O48">
        <f t="shared" si="9"/>
        <v>1440</v>
      </c>
      <c r="P48">
        <f t="shared" si="10"/>
        <v>1600</v>
      </c>
      <c r="Q48">
        <f t="shared" si="11"/>
        <v>40</v>
      </c>
      <c r="R48">
        <f t="shared" si="3"/>
        <v>34.250498701056735</v>
      </c>
      <c r="S48">
        <f t="shared" si="4"/>
        <v>0.85626246752641844</v>
      </c>
      <c r="Y48" s="444">
        <v>0.9</v>
      </c>
      <c r="Z48" s="445">
        <v>0.85626246752641844</v>
      </c>
    </row>
    <row r="49" spans="1:26" x14ac:dyDescent="0.25">
      <c r="A49" s="423"/>
      <c r="B49" s="421"/>
      <c r="C49" s="421"/>
      <c r="D49" s="421"/>
      <c r="E49" s="421"/>
      <c r="F49" s="421"/>
      <c r="G49" s="421"/>
      <c r="H49" s="421"/>
      <c r="I49" s="423"/>
      <c r="N49">
        <v>1</v>
      </c>
      <c r="O49">
        <f t="shared" si="9"/>
        <v>1600</v>
      </c>
      <c r="P49">
        <f t="shared" si="10"/>
        <v>1600</v>
      </c>
      <c r="Q49">
        <f t="shared" si="11"/>
        <v>40</v>
      </c>
      <c r="R49">
        <f t="shared" si="3"/>
        <v>30.487804878048781</v>
      </c>
      <c r="S49">
        <f t="shared" si="4"/>
        <v>0.76219512195121952</v>
      </c>
      <c r="Y49" s="444">
        <v>1</v>
      </c>
      <c r="Z49" s="445">
        <v>0.76219512195121952</v>
      </c>
    </row>
    <row r="50" spans="1:26" x14ac:dyDescent="0.25">
      <c r="A50" s="423"/>
      <c r="B50" s="421"/>
      <c r="C50" s="421"/>
      <c r="D50" s="421"/>
      <c r="E50" s="421"/>
      <c r="F50" s="421"/>
      <c r="G50" s="421"/>
      <c r="H50" s="421"/>
      <c r="I50" s="423"/>
      <c r="N50">
        <v>1.1000000000000001</v>
      </c>
      <c r="O50">
        <f t="shared" si="9"/>
        <v>1760.0000000000002</v>
      </c>
      <c r="P50">
        <f t="shared" si="10"/>
        <v>1600</v>
      </c>
      <c r="Q50">
        <f t="shared" si="11"/>
        <v>40</v>
      </c>
      <c r="R50">
        <f t="shared" si="3"/>
        <v>25.863223043141495</v>
      </c>
      <c r="S50">
        <f t="shared" si="4"/>
        <v>0.64658057607853736</v>
      </c>
      <c r="Y50" s="444">
        <v>1.1000000000000001</v>
      </c>
      <c r="Z50" s="445">
        <v>0.64658057607853736</v>
      </c>
    </row>
    <row r="51" spans="1:26" x14ac:dyDescent="0.25">
      <c r="A51" s="423"/>
      <c r="B51" s="421"/>
      <c r="C51" s="421"/>
      <c r="D51" s="421"/>
      <c r="E51" s="421"/>
      <c r="F51" s="421"/>
      <c r="G51" s="421"/>
      <c r="H51" s="421"/>
      <c r="I51" s="423"/>
      <c r="N51">
        <v>1.2</v>
      </c>
      <c r="O51">
        <f t="shared" si="9"/>
        <v>1920</v>
      </c>
      <c r="P51">
        <f t="shared" si="10"/>
        <v>1600</v>
      </c>
      <c r="Q51">
        <f t="shared" si="11"/>
        <v>40</v>
      </c>
      <c r="R51">
        <f t="shared" si="3"/>
        <v>20.920892100246643</v>
      </c>
      <c r="S51">
        <f t="shared" si="4"/>
        <v>0.5230223025061661</v>
      </c>
      <c r="Y51" s="444">
        <v>1.2</v>
      </c>
      <c r="Z51" s="445">
        <v>0.5230223025061661</v>
      </c>
    </row>
    <row r="52" spans="1:26" x14ac:dyDescent="0.25">
      <c r="A52" s="423"/>
      <c r="B52" s="421"/>
      <c r="C52" s="421"/>
      <c r="D52" s="421"/>
      <c r="E52" s="421"/>
      <c r="F52" s="421"/>
      <c r="G52" s="421"/>
      <c r="H52" s="421"/>
      <c r="I52" s="423"/>
      <c r="N52">
        <v>1.4</v>
      </c>
      <c r="O52">
        <f t="shared" si="9"/>
        <v>2240</v>
      </c>
      <c r="P52">
        <f t="shared" si="10"/>
        <v>1600</v>
      </c>
      <c r="Q52">
        <f t="shared" si="11"/>
        <v>40</v>
      </c>
      <c r="R52">
        <f t="shared" si="3"/>
        <v>12.275474610305784</v>
      </c>
      <c r="S52">
        <f t="shared" si="4"/>
        <v>0.30688686525764458</v>
      </c>
      <c r="Y52" s="444">
        <v>1.4</v>
      </c>
      <c r="Z52" s="445">
        <v>0.30688686525764458</v>
      </c>
    </row>
    <row r="53" spans="1:26" x14ac:dyDescent="0.25">
      <c r="A53" s="423"/>
      <c r="B53" s="423"/>
      <c r="C53" s="423"/>
      <c r="D53" s="423"/>
      <c r="E53" s="423"/>
      <c r="F53" s="423"/>
      <c r="G53" s="423"/>
      <c r="H53" s="423"/>
      <c r="I53" s="423"/>
      <c r="N53">
        <v>1.6</v>
      </c>
      <c r="O53">
        <f t="shared" si="9"/>
        <v>2560</v>
      </c>
      <c r="P53">
        <f t="shared" si="10"/>
        <v>1600</v>
      </c>
      <c r="Q53">
        <f t="shared" si="11"/>
        <v>40</v>
      </c>
      <c r="R53">
        <f t="shared" si="3"/>
        <v>6.7177035237221645</v>
      </c>
      <c r="S53">
        <f t="shared" si="4"/>
        <v>0.16794258809305412</v>
      </c>
      <c r="Y53" s="444">
        <v>1.6</v>
      </c>
      <c r="Z53" s="445">
        <v>0.16794258809305412</v>
      </c>
    </row>
    <row r="54" spans="1:26" x14ac:dyDescent="0.25">
      <c r="A54" s="423"/>
      <c r="B54" s="423"/>
      <c r="C54" s="423"/>
      <c r="D54" s="423"/>
      <c r="E54" s="423"/>
      <c r="F54" s="423"/>
      <c r="G54" s="423"/>
      <c r="H54" s="423"/>
      <c r="I54" s="423"/>
      <c r="N54">
        <v>1.8</v>
      </c>
      <c r="O54">
        <f t="shared" si="9"/>
        <v>2880</v>
      </c>
      <c r="P54">
        <f t="shared" si="10"/>
        <v>1600</v>
      </c>
      <c r="Q54">
        <f t="shared" si="11"/>
        <v>40</v>
      </c>
      <c r="R54">
        <f t="shared" si="3"/>
        <v>3.6675185484869193</v>
      </c>
      <c r="S54">
        <f t="shared" si="4"/>
        <v>9.1687963712172985E-2</v>
      </c>
      <c r="Y54" s="444">
        <v>1.8</v>
      </c>
      <c r="Z54" s="445">
        <v>9.1687963712172985E-2</v>
      </c>
    </row>
    <row r="55" spans="1:26" x14ac:dyDescent="0.25">
      <c r="A55" s="423"/>
      <c r="B55" s="423"/>
      <c r="C55" s="423"/>
      <c r="D55" s="423"/>
      <c r="E55" s="423"/>
      <c r="F55" s="423"/>
      <c r="G55" s="423"/>
      <c r="H55" s="423"/>
      <c r="I55" s="423"/>
      <c r="N55">
        <v>2</v>
      </c>
      <c r="O55">
        <f t="shared" si="9"/>
        <v>3200</v>
      </c>
      <c r="P55">
        <f t="shared" si="10"/>
        <v>1600</v>
      </c>
      <c r="Q55">
        <f t="shared" si="11"/>
        <v>40</v>
      </c>
      <c r="R55">
        <f t="shared" si="3"/>
        <v>2.0605221661703914</v>
      </c>
      <c r="S55">
        <f t="shared" si="4"/>
        <v>5.1513054154259788E-2</v>
      </c>
      <c r="Y55" s="444">
        <v>2</v>
      </c>
      <c r="Z55" s="445">
        <v>5.1513054154259788E-2</v>
      </c>
    </row>
    <row r="56" spans="1:26" x14ac:dyDescent="0.25">
      <c r="A56" s="423"/>
      <c r="B56" s="423"/>
      <c r="C56" s="423"/>
      <c r="D56" s="423"/>
      <c r="E56" s="423"/>
      <c r="F56" s="423"/>
      <c r="G56" s="423"/>
      <c r="H56" s="423"/>
      <c r="I56" s="423"/>
      <c r="N56">
        <v>2.5</v>
      </c>
      <c r="O56">
        <f t="shared" si="9"/>
        <v>4000</v>
      </c>
      <c r="P56">
        <f t="shared" si="10"/>
        <v>1600</v>
      </c>
      <c r="Q56">
        <f t="shared" si="11"/>
        <v>40</v>
      </c>
      <c r="R56">
        <f t="shared" si="3"/>
        <v>0.57613405165662168</v>
      </c>
      <c r="S56">
        <f t="shared" si="4"/>
        <v>1.4403351291415541E-2</v>
      </c>
      <c r="Y56" s="444">
        <v>2.5</v>
      </c>
      <c r="Z56" s="445">
        <v>1.4403351291415541E-2</v>
      </c>
    </row>
    <row r="57" spans="1:26" x14ac:dyDescent="0.25">
      <c r="A57" s="423"/>
      <c r="B57" s="423"/>
      <c r="C57" s="423"/>
      <c r="D57" s="423"/>
      <c r="E57" s="423"/>
      <c r="F57" s="423"/>
      <c r="G57" s="423"/>
      <c r="H57" s="423"/>
      <c r="I57" s="423"/>
      <c r="N57">
        <v>3</v>
      </c>
      <c r="O57">
        <f t="shared" si="9"/>
        <v>4800</v>
      </c>
      <c r="P57">
        <f t="shared" si="10"/>
        <v>1600</v>
      </c>
      <c r="Q57">
        <f t="shared" si="11"/>
        <v>40</v>
      </c>
      <c r="R57">
        <f t="shared" si="3"/>
        <v>0.19899178053697172</v>
      </c>
      <c r="S57">
        <f t="shared" si="4"/>
        <v>4.9747945134242929E-3</v>
      </c>
      <c r="Y57" s="444">
        <v>3</v>
      </c>
      <c r="Z57" s="445">
        <v>4.9747945134242929E-3</v>
      </c>
    </row>
    <row r="58" spans="1:26" x14ac:dyDescent="0.25">
      <c r="A58" s="423"/>
      <c r="B58" s="423"/>
      <c r="C58" s="423"/>
      <c r="D58" s="423"/>
      <c r="E58" s="423"/>
      <c r="F58" s="423"/>
      <c r="G58" s="423"/>
      <c r="H58" s="423"/>
      <c r="I58" s="423"/>
      <c r="N58">
        <v>4</v>
      </c>
      <c r="O58">
        <f t="shared" si="9"/>
        <v>6400</v>
      </c>
      <c r="P58">
        <f t="shared" si="10"/>
        <v>1600</v>
      </c>
      <c r="Q58">
        <f t="shared" si="11"/>
        <v>40</v>
      </c>
      <c r="R58">
        <f t="shared" si="3"/>
        <v>3.6777903896751667E-2</v>
      </c>
      <c r="S58">
        <f t="shared" si="4"/>
        <v>9.1944759741879162E-4</v>
      </c>
      <c r="Y58" s="444">
        <v>4</v>
      </c>
      <c r="Z58" s="445">
        <v>9.1944759741879162E-4</v>
      </c>
    </row>
    <row r="59" spans="1:26" x14ac:dyDescent="0.25">
      <c r="A59" s="423"/>
      <c r="B59" s="423"/>
      <c r="C59" s="423"/>
      <c r="D59" s="423"/>
      <c r="E59" s="423"/>
      <c r="F59" s="423"/>
      <c r="G59" s="423"/>
      <c r="H59" s="423"/>
      <c r="I59" s="423"/>
      <c r="N59">
        <v>5</v>
      </c>
      <c r="O59">
        <f t="shared" si="9"/>
        <v>8000</v>
      </c>
      <c r="P59">
        <f t="shared" si="10"/>
        <v>1600</v>
      </c>
      <c r="Q59">
        <f t="shared" si="11"/>
        <v>40</v>
      </c>
      <c r="R59">
        <f t="shared" si="3"/>
        <v>9.9027845488691372E-3</v>
      </c>
      <c r="S59">
        <f t="shared" si="4"/>
        <v>2.4756961372172844E-4</v>
      </c>
      <c r="Y59" s="444">
        <v>5</v>
      </c>
      <c r="Z59" s="445">
        <v>2.4756961372172844E-4</v>
      </c>
    </row>
    <row r="60" spans="1:26" x14ac:dyDescent="0.25">
      <c r="A60" s="423"/>
      <c r="B60" s="423"/>
      <c r="C60" s="423"/>
      <c r="D60" s="423"/>
      <c r="E60" s="423"/>
      <c r="F60" s="423"/>
      <c r="G60" s="423"/>
      <c r="H60" s="423"/>
      <c r="I60" s="423"/>
      <c r="N60">
        <v>6</v>
      </c>
      <c r="O60">
        <f t="shared" si="9"/>
        <v>9600</v>
      </c>
      <c r="P60">
        <f t="shared" si="10"/>
        <v>1600</v>
      </c>
      <c r="Q60">
        <f t="shared" si="11"/>
        <v>40</v>
      </c>
      <c r="R60">
        <f t="shared" si="3"/>
        <v>3.3884790104847045E-3</v>
      </c>
      <c r="S60">
        <f t="shared" si="4"/>
        <v>8.4711975262117615E-5</v>
      </c>
      <c r="Y60" s="444">
        <v>6</v>
      </c>
      <c r="Z60" s="445">
        <v>8.4711975262117615E-5</v>
      </c>
    </row>
    <row r="61" spans="1:26" x14ac:dyDescent="0.25">
      <c r="A61" s="423"/>
      <c r="B61" s="423"/>
      <c r="C61" s="423"/>
      <c r="D61" s="423"/>
      <c r="E61" s="423"/>
      <c r="F61" s="423"/>
      <c r="G61" s="423"/>
      <c r="H61" s="423"/>
      <c r="I61" s="423"/>
      <c r="N61">
        <v>12</v>
      </c>
      <c r="O61">
        <f t="shared" si="9"/>
        <v>19200</v>
      </c>
      <c r="P61">
        <f t="shared" si="10"/>
        <v>1600</v>
      </c>
      <c r="Q61">
        <f t="shared" si="11"/>
        <v>40</v>
      </c>
      <c r="R61">
        <f t="shared" si="3"/>
        <v>5.7422421584158405E-5</v>
      </c>
      <c r="S61">
        <f t="shared" si="4"/>
        <v>1.4355605396039601E-6</v>
      </c>
      <c r="Y61" s="444">
        <v>12</v>
      </c>
      <c r="Z61" s="445">
        <v>1.4355605396039601E-6</v>
      </c>
    </row>
    <row r="62" spans="1:26" x14ac:dyDescent="0.25">
      <c r="A62" s="423"/>
      <c r="B62" s="423"/>
      <c r="C62" s="423"/>
      <c r="D62" s="423"/>
      <c r="E62" s="423"/>
      <c r="F62" s="423"/>
      <c r="G62" s="423"/>
      <c r="H62" s="423"/>
      <c r="I62" s="423"/>
    </row>
    <row r="63" spans="1:26" x14ac:dyDescent="0.25">
      <c r="A63" s="423"/>
      <c r="B63" s="423"/>
      <c r="C63" s="423"/>
      <c r="D63" s="423"/>
      <c r="E63" s="423"/>
      <c r="F63" s="423"/>
      <c r="G63" s="423"/>
      <c r="H63" s="423"/>
      <c r="I63" s="423"/>
    </row>
    <row r="64" spans="1:26" x14ac:dyDescent="0.25">
      <c r="A64" s="423"/>
      <c r="B64" s="423"/>
      <c r="C64" s="423"/>
      <c r="D64" s="423"/>
      <c r="E64" s="423"/>
      <c r="F64" s="423"/>
      <c r="G64" s="423"/>
      <c r="H64" s="423"/>
      <c r="I64" s="423"/>
    </row>
    <row r="65" spans="1:9" x14ac:dyDescent="0.25">
      <c r="A65" s="423"/>
      <c r="B65" s="423"/>
      <c r="C65" s="423"/>
      <c r="D65" s="423"/>
      <c r="E65" s="423"/>
      <c r="F65" s="423"/>
      <c r="G65" s="423"/>
      <c r="H65" s="423"/>
      <c r="I65" s="423"/>
    </row>
    <row r="66" spans="1:9" x14ac:dyDescent="0.25">
      <c r="A66" s="423"/>
      <c r="B66" s="423"/>
      <c r="C66" s="423"/>
      <c r="D66" s="423"/>
      <c r="E66" s="423"/>
      <c r="F66" s="423"/>
      <c r="G66" s="423"/>
      <c r="H66" s="423"/>
      <c r="I66" s="423"/>
    </row>
    <row r="67" spans="1:9" x14ac:dyDescent="0.25">
      <c r="A67" s="423"/>
      <c r="B67" s="423"/>
      <c r="C67" s="423"/>
      <c r="D67" s="423"/>
      <c r="E67" s="423"/>
      <c r="F67" s="423"/>
      <c r="G67" s="423"/>
      <c r="H67" s="423"/>
      <c r="I67" s="423"/>
    </row>
    <row r="68" spans="1:9" x14ac:dyDescent="0.25">
      <c r="A68" s="423"/>
      <c r="B68" s="423"/>
      <c r="C68" s="423"/>
      <c r="D68" s="423"/>
      <c r="E68" s="423"/>
      <c r="F68" s="423"/>
      <c r="G68" s="423"/>
      <c r="H68" s="423"/>
      <c r="I68" s="423"/>
    </row>
    <row r="69" spans="1:9" x14ac:dyDescent="0.25">
      <c r="A69" s="423"/>
      <c r="B69" s="423"/>
      <c r="C69" s="423"/>
      <c r="D69" s="423"/>
      <c r="E69" s="423"/>
      <c r="F69" s="423"/>
      <c r="G69" s="423"/>
      <c r="H69" s="423"/>
      <c r="I69" s="423"/>
    </row>
    <row r="70" spans="1:9" x14ac:dyDescent="0.25">
      <c r="A70" s="423"/>
      <c r="B70" s="423"/>
      <c r="C70" s="423"/>
      <c r="D70" s="423"/>
      <c r="E70" s="423"/>
      <c r="F70" s="423"/>
      <c r="G70" s="423"/>
      <c r="H70" s="423"/>
      <c r="I70" s="423"/>
    </row>
    <row r="71" spans="1:9" x14ac:dyDescent="0.25">
      <c r="A71" s="423"/>
      <c r="B71" s="423"/>
      <c r="C71" s="423"/>
      <c r="D71" s="423"/>
      <c r="E71" s="423"/>
      <c r="F71" s="423"/>
      <c r="G71" s="423"/>
      <c r="H71" s="423"/>
      <c r="I71" s="423"/>
    </row>
    <row r="72" spans="1:9" x14ac:dyDescent="0.25">
      <c r="A72" s="423"/>
      <c r="B72" s="423"/>
      <c r="C72" s="423"/>
      <c r="D72" s="423"/>
      <c r="E72" s="423"/>
      <c r="F72" s="423"/>
      <c r="G72" s="423"/>
      <c r="H72" s="423"/>
      <c r="I72" s="423"/>
    </row>
    <row r="73" spans="1:9" x14ac:dyDescent="0.25">
      <c r="A73" s="423"/>
      <c r="B73" s="423"/>
      <c r="C73" s="423"/>
      <c r="D73" s="423"/>
      <c r="E73" s="423"/>
      <c r="F73" s="423"/>
      <c r="G73" s="423"/>
      <c r="H73" s="423"/>
      <c r="I73" s="423"/>
    </row>
    <row r="74" spans="1:9" x14ac:dyDescent="0.25">
      <c r="A74" s="423"/>
      <c r="B74" s="423"/>
      <c r="C74" s="423"/>
      <c r="D74" s="423"/>
      <c r="E74" s="423"/>
      <c r="F74" s="423"/>
      <c r="G74" s="423"/>
      <c r="H74" s="423"/>
      <c r="I74" s="423"/>
    </row>
    <row r="75" spans="1:9" x14ac:dyDescent="0.25">
      <c r="A75" s="423"/>
      <c r="B75" s="423"/>
      <c r="C75" s="423"/>
      <c r="D75" s="423"/>
      <c r="E75" s="423"/>
      <c r="F75" s="423"/>
      <c r="G75" s="423"/>
      <c r="H75" s="423"/>
      <c r="I75" s="423"/>
    </row>
    <row r="76" spans="1:9" x14ac:dyDescent="0.25">
      <c r="A76" s="423"/>
      <c r="B76" s="423"/>
      <c r="C76" s="423"/>
      <c r="D76" s="423"/>
      <c r="E76" s="423"/>
      <c r="F76" s="423"/>
      <c r="G76" s="423"/>
      <c r="H76" s="423"/>
      <c r="I76" s="423"/>
    </row>
    <row r="77" spans="1:9" x14ac:dyDescent="0.25">
      <c r="A77" s="423"/>
      <c r="B77" s="423"/>
      <c r="C77" s="423"/>
      <c r="D77" s="423"/>
      <c r="E77" s="423"/>
      <c r="F77" s="423"/>
      <c r="G77" s="423"/>
      <c r="H77" s="423"/>
      <c r="I77" s="423"/>
    </row>
    <row r="78" spans="1:9" x14ac:dyDescent="0.25">
      <c r="A78" s="423"/>
      <c r="B78" s="423"/>
      <c r="C78" s="423"/>
      <c r="D78" s="423"/>
      <c r="E78" s="423"/>
      <c r="F78" s="423"/>
      <c r="G78" s="423"/>
      <c r="H78" s="423"/>
      <c r="I78" s="423"/>
    </row>
    <row r="79" spans="1:9" x14ac:dyDescent="0.25">
      <c r="A79" s="423"/>
      <c r="B79" s="423"/>
      <c r="C79" s="423"/>
      <c r="D79" s="423"/>
      <c r="E79" s="423"/>
      <c r="F79" s="423"/>
      <c r="G79" s="423"/>
      <c r="H79" s="423"/>
      <c r="I79" s="423"/>
    </row>
    <row r="80" spans="1:9" x14ac:dyDescent="0.25">
      <c r="A80" s="423"/>
      <c r="B80" s="423"/>
      <c r="C80" s="423"/>
      <c r="D80" s="423"/>
      <c r="E80" s="423"/>
      <c r="F80" s="423"/>
      <c r="G80" s="423"/>
      <c r="H80" s="423"/>
      <c r="I80" s="423"/>
    </row>
    <row r="81" spans="1:9" x14ac:dyDescent="0.25">
      <c r="A81" s="423"/>
      <c r="B81" s="423"/>
      <c r="C81" s="423"/>
      <c r="D81" s="423"/>
      <c r="E81" s="423"/>
      <c r="F81" s="423"/>
      <c r="G81" s="423"/>
      <c r="H81" s="423"/>
      <c r="I81" s="423"/>
    </row>
    <row r="82" spans="1:9" x14ac:dyDescent="0.25">
      <c r="A82" s="423"/>
      <c r="B82" s="423"/>
      <c r="C82" s="423"/>
      <c r="D82" s="423"/>
      <c r="E82" s="423"/>
      <c r="F82" s="423"/>
      <c r="G82" s="423"/>
      <c r="H82" s="423"/>
      <c r="I82" s="423"/>
    </row>
    <row r="83" spans="1:9" x14ac:dyDescent="0.25">
      <c r="A83" s="423"/>
      <c r="B83" s="423"/>
      <c r="C83" s="423"/>
      <c r="D83" s="423"/>
      <c r="E83" s="423"/>
      <c r="F83" s="423"/>
      <c r="G83" s="423"/>
      <c r="H83" s="423"/>
      <c r="I83" s="423"/>
    </row>
    <row r="84" spans="1:9" x14ac:dyDescent="0.25">
      <c r="A84" s="423"/>
      <c r="B84" s="423"/>
      <c r="C84" s="423"/>
      <c r="D84" s="423"/>
      <c r="E84" s="423"/>
      <c r="F84" s="423"/>
      <c r="G84" s="423"/>
      <c r="H84" s="423"/>
      <c r="I84" s="423"/>
    </row>
    <row r="85" spans="1:9" x14ac:dyDescent="0.25">
      <c r="A85" s="423"/>
      <c r="B85" s="423"/>
      <c r="C85" s="423"/>
      <c r="D85" s="423"/>
      <c r="E85" s="423"/>
      <c r="F85" s="423"/>
      <c r="G85" s="423"/>
      <c r="H85" s="423"/>
      <c r="I85" s="423"/>
    </row>
    <row r="86" spans="1:9" x14ac:dyDescent="0.25">
      <c r="A86" s="423"/>
      <c r="B86" s="423"/>
      <c r="C86" s="423"/>
      <c r="D86" s="423"/>
      <c r="E86" s="423"/>
      <c r="F86" s="423"/>
      <c r="G86" s="423"/>
      <c r="H86" s="423"/>
      <c r="I86" s="423"/>
    </row>
    <row r="87" spans="1:9" x14ac:dyDescent="0.25">
      <c r="A87" s="423"/>
      <c r="B87" s="423"/>
      <c r="C87" s="423"/>
      <c r="D87" s="423"/>
      <c r="E87" s="423"/>
      <c r="F87" s="423"/>
      <c r="G87" s="423"/>
      <c r="H87" s="423"/>
      <c r="I87" s="423"/>
    </row>
    <row r="88" spans="1:9" x14ac:dyDescent="0.25">
      <c r="A88" s="423"/>
      <c r="B88" s="423"/>
      <c r="C88" s="423"/>
      <c r="D88" s="423"/>
      <c r="E88" s="423"/>
      <c r="F88" s="423"/>
      <c r="G88" s="423"/>
      <c r="H88" s="423"/>
      <c r="I88" s="423"/>
    </row>
    <row r="89" spans="1:9" x14ac:dyDescent="0.25">
      <c r="A89" s="423"/>
      <c r="B89" s="423"/>
      <c r="C89" s="423"/>
      <c r="D89" s="423"/>
      <c r="E89" s="423"/>
      <c r="F89" s="423"/>
      <c r="G89" s="423"/>
      <c r="H89" s="423"/>
      <c r="I89" s="423"/>
    </row>
    <row r="90" spans="1:9" x14ac:dyDescent="0.25">
      <c r="A90" s="423"/>
      <c r="B90" s="423"/>
      <c r="C90" s="423"/>
      <c r="D90" s="423"/>
      <c r="E90" s="423"/>
      <c r="F90" s="423"/>
      <c r="G90" s="423"/>
      <c r="H90" s="423"/>
      <c r="I90" s="423"/>
    </row>
    <row r="91" spans="1:9" x14ac:dyDescent="0.25">
      <c r="A91" s="423"/>
      <c r="B91" s="423"/>
      <c r="C91" s="423"/>
      <c r="D91" s="423"/>
      <c r="E91" s="423"/>
      <c r="F91" s="423"/>
      <c r="G91" s="423"/>
      <c r="H91" s="423"/>
      <c r="I91" s="423"/>
    </row>
    <row r="92" spans="1:9" x14ac:dyDescent="0.25">
      <c r="A92" s="423"/>
      <c r="B92" s="423"/>
      <c r="C92" s="423"/>
      <c r="D92" s="423"/>
      <c r="E92" s="423"/>
      <c r="F92" s="423"/>
      <c r="G92" s="423"/>
      <c r="H92" s="423"/>
      <c r="I92" s="423"/>
    </row>
    <row r="93" spans="1:9" x14ac:dyDescent="0.25">
      <c r="A93" s="423"/>
      <c r="B93" s="423"/>
      <c r="C93" s="423"/>
      <c r="D93" s="423"/>
      <c r="E93" s="423"/>
      <c r="F93" s="423"/>
      <c r="G93" s="423"/>
      <c r="H93" s="423"/>
      <c r="I93" s="423"/>
    </row>
  </sheetData>
  <hyperlinks>
    <hyperlink ref="A1" location="'Work Zone'!A1" display="Back" xr:uid="{00000000-0004-0000-0800-000000000000}"/>
    <hyperlink ref="A2" location="'OPENING SCREEN'!A1" display="Home" xr:uid="{00000000-0004-0000-0800-000001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48E352-FF19-4109-8F70-9C6ED22BD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5E06FE8-8F56-4EFC-9B2F-EBF98119ACF2}">
  <ds:schemaRefs>
    <ds:schemaRef ds:uri="http://schemas.microsoft.com/sharepoint/v3/contenttype/forms"/>
  </ds:schemaRefs>
</ds:datastoreItem>
</file>

<file path=customXml/itemProps3.xml><?xml version="1.0" encoding="utf-8"?>
<ds:datastoreItem xmlns:ds="http://schemas.openxmlformats.org/officeDocument/2006/customXml" ds:itemID="{D32A45CB-5329-4AF1-9830-08722550483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33</vt:i4>
      </vt:variant>
    </vt:vector>
  </HeadingPairs>
  <TitlesOfParts>
    <vt:vector size="47" baseType="lpstr">
      <vt:lpstr>Home Page</vt:lpstr>
      <vt:lpstr>Instructions</vt:lpstr>
      <vt:lpstr>1) Project Information</vt:lpstr>
      <vt:lpstr>2) Project Crash Data</vt:lpstr>
      <vt:lpstr>3) Analysis Parameters</vt:lpstr>
      <vt:lpstr>4) Results</vt:lpstr>
      <vt:lpstr>Crash Benefits</vt:lpstr>
      <vt:lpstr>Travel Time Benefits</vt:lpstr>
      <vt:lpstr>LinkCharacteristics</vt:lpstr>
      <vt:lpstr>Reliability Benefits</vt:lpstr>
      <vt:lpstr>Vehicle Operation Benefits</vt:lpstr>
      <vt:lpstr>Emission Benefits</vt:lpstr>
      <vt:lpstr>Lookup</vt:lpstr>
      <vt:lpstr>Final Calculations</vt:lpstr>
      <vt:lpstr>'1) Project Information'!_Ref497200576</vt:lpstr>
      <vt:lpstr>Instructions!_Toc507103938</vt:lpstr>
      <vt:lpstr>Calc_Method</vt:lpstr>
      <vt:lpstr>calculatedBaselineCapacity</vt:lpstr>
      <vt:lpstr>Case_Type</vt:lpstr>
      <vt:lpstr>Cost_Anchor</vt:lpstr>
      <vt:lpstr>defaultFFS</vt:lpstr>
      <vt:lpstr>Different_Method</vt:lpstr>
      <vt:lpstr>facilityTypeId</vt:lpstr>
      <vt:lpstr>facilityTypeName</vt:lpstr>
      <vt:lpstr>facilityTypes</vt:lpstr>
      <vt:lpstr>Highway_Type</vt:lpstr>
      <vt:lpstr>Highway_Type3</vt:lpstr>
      <vt:lpstr>inputFacilityType</vt:lpstr>
      <vt:lpstr>inputFFS</vt:lpstr>
      <vt:lpstr>inputLinkVolume</vt:lpstr>
      <vt:lpstr>LifeCycleAcc</vt:lpstr>
      <vt:lpstr>LifeCycleEm</vt:lpstr>
      <vt:lpstr>LifeCycleVOC</vt:lpstr>
      <vt:lpstr>Magnitude</vt:lpstr>
      <vt:lpstr>overrideBaselineCapacity</vt:lpstr>
      <vt:lpstr>'1) Project Information'!Print_Area</vt:lpstr>
      <vt:lpstr>'Final Calculations'!Print_Area</vt:lpstr>
      <vt:lpstr>Lookup!Print_Area</vt:lpstr>
      <vt:lpstr>PrjInfo_Anchor</vt:lpstr>
      <vt:lpstr>Rel_Anchor</vt:lpstr>
      <vt:lpstr>Road_Type</vt:lpstr>
      <vt:lpstr>Same_Method</vt:lpstr>
      <vt:lpstr>Single_Multiple</vt:lpstr>
      <vt:lpstr>TCapCostNB</vt:lpstr>
      <vt:lpstr>TInTimeNBN</vt:lpstr>
      <vt:lpstr>TopAnchor</vt:lpstr>
      <vt:lpstr>vcCurves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Hachey</dc:creator>
  <cp:lastModifiedBy>Le, Tami CTR (OST)</cp:lastModifiedBy>
  <cp:lastPrinted>2017-12-18T17:13:33Z</cp:lastPrinted>
  <dcterms:created xsi:type="dcterms:W3CDTF">2017-05-05T16:50:56Z</dcterms:created>
  <dcterms:modified xsi:type="dcterms:W3CDTF">2022-06-06T16:00:39Z</dcterms:modified>
</cp:coreProperties>
</file>