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3DFCDA8A-BB6D-4077-AF15-CEAA47F9729D}\NT\16\"/>
    </mc:Choice>
  </mc:AlternateContent>
  <xr:revisionPtr revIDLastSave="0" documentId="13_ncr:1_{A9C5AA6F-C160-4609-B252-C51270DAB0DB}" xr6:coauthVersionLast="47" xr6:coauthVersionMax="47" xr10:uidLastSave="{00000000-0000-0000-0000-000000000000}"/>
  <bookViews>
    <workbookView xWindow="2850" yWindow="2850" windowWidth="21600" windowHeight="11385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8" i="1" l="1"/>
  <c r="B187" i="1" l="1"/>
  <c r="C189" i="1" s="1"/>
  <c r="D189" i="1" s="1"/>
  <c r="B186" i="1"/>
  <c r="B185" i="1"/>
  <c r="B184" i="1"/>
  <c r="B183" i="1"/>
  <c r="B182" i="1" l="1"/>
  <c r="C185" i="1" s="1"/>
  <c r="D185" i="1" s="1"/>
  <c r="B181" i="1"/>
  <c r="B180" i="1" l="1"/>
  <c r="B179" i="1" l="1"/>
  <c r="B178" i="1" l="1"/>
  <c r="B177" i="1" l="1"/>
  <c r="C181" i="1"/>
  <c r="D181" i="1" s="1"/>
  <c r="B176" i="1"/>
  <c r="B175" i="1" l="1"/>
  <c r="C176" i="1" l="1"/>
  <c r="D176" i="1" s="1"/>
  <c r="B174" i="1"/>
  <c r="B173" i="1" l="1"/>
  <c r="C172" i="1"/>
  <c r="D172" i="1" s="1"/>
  <c r="B172" i="1"/>
  <c r="B171" i="1" l="1"/>
  <c r="B170" i="1"/>
  <c r="B169" i="1"/>
  <c r="B168" i="1"/>
  <c r="B167" i="1" l="1"/>
  <c r="B166" i="1" l="1"/>
  <c r="B165" i="1" l="1"/>
  <c r="C168" i="1" l="1"/>
  <c r="D168" i="1" s="1"/>
  <c r="B164" i="1"/>
  <c r="B163" i="1" l="1"/>
  <c r="B162" i="1"/>
  <c r="B161" i="1"/>
  <c r="B160" i="1"/>
  <c r="C163" i="1" l="1"/>
  <c r="D163" i="1" s="1"/>
  <c r="B159" i="1"/>
  <c r="C159" i="1"/>
  <c r="D159" i="1" s="1"/>
  <c r="B158" i="1" l="1"/>
  <c r="B157" i="1" l="1"/>
  <c r="B156" i="1"/>
  <c r="B155" i="1"/>
  <c r="B154" i="1"/>
  <c r="B153" i="1" l="1"/>
  <c r="B152" i="1"/>
  <c r="B151" i="1"/>
  <c r="C154" i="1" l="1"/>
  <c r="D154" i="1" s="1"/>
  <c r="C150" i="1"/>
  <c r="D150" i="1" s="1"/>
  <c r="B150" i="1"/>
  <c r="B149" i="1"/>
  <c r="B148" i="1"/>
  <c r="B147" i="1" l="1"/>
  <c r="B146" i="1"/>
  <c r="B145" i="1"/>
  <c r="B144" i="1"/>
  <c r="B143" i="1" l="1"/>
  <c r="B142" i="1"/>
  <c r="C146" i="1"/>
  <c r="C141" i="1" l="1"/>
  <c r="B141" i="1"/>
  <c r="B140" i="1"/>
  <c r="B139" i="1"/>
  <c r="B138" i="1"/>
  <c r="B137" i="1"/>
  <c r="B136" i="1"/>
  <c r="B135" i="1"/>
  <c r="C137" i="1" s="1"/>
  <c r="B134" i="1"/>
  <c r="B133" i="1"/>
  <c r="B132" i="1"/>
  <c r="B131" i="1"/>
  <c r="B130" i="1"/>
  <c r="C133" i="1" s="1"/>
  <c r="B128" i="1"/>
  <c r="B129" i="1"/>
  <c r="B127" i="1" l="1"/>
  <c r="B126" i="1"/>
  <c r="C129" i="1" s="1"/>
  <c r="B125" i="1"/>
  <c r="B124" i="1"/>
  <c r="B123" i="1"/>
  <c r="B122" i="1"/>
  <c r="B121" i="1"/>
  <c r="B120" i="1"/>
  <c r="B119" i="1"/>
  <c r="B118" i="1"/>
  <c r="B117" i="1"/>
  <c r="B116" i="1"/>
  <c r="B115" i="1"/>
  <c r="B114" i="1"/>
  <c r="C115" i="1" s="1"/>
  <c r="B113" i="1"/>
  <c r="B112" i="1"/>
  <c r="B111" i="1"/>
  <c r="C111" i="1" s="1"/>
  <c r="B110" i="1"/>
  <c r="B109" i="1"/>
  <c r="B108" i="1"/>
  <c r="B107" i="1"/>
  <c r="C107" i="1" s="1"/>
  <c r="B106" i="1"/>
  <c r="B105" i="1"/>
  <c r="B104" i="1"/>
  <c r="C124" i="1" l="1"/>
  <c r="C120" i="1"/>
  <c r="B103" i="1"/>
  <c r="B102" i="1"/>
  <c r="B101" i="1"/>
  <c r="B100" i="1"/>
  <c r="B99" i="1"/>
  <c r="C102" i="1" s="1"/>
  <c r="B98" i="1"/>
  <c r="B97" i="1"/>
  <c r="B96" i="1"/>
  <c r="B95" i="1"/>
  <c r="C98" i="1" s="1"/>
  <c r="B94" i="1"/>
  <c r="B93" i="1" l="1"/>
  <c r="B92" i="1" l="1"/>
  <c r="B91" i="1" l="1"/>
  <c r="C94" i="1" s="1"/>
  <c r="B90" i="1"/>
  <c r="B89" i="1" l="1"/>
  <c r="B88" i="1" l="1"/>
  <c r="B87" i="1" l="1"/>
  <c r="B86" i="1"/>
  <c r="B85" i="1"/>
  <c r="B84" i="1"/>
  <c r="B83" i="1"/>
  <c r="B82" i="1"/>
  <c r="C85" i="1" s="1"/>
  <c r="C89" i="1" l="1"/>
  <c r="B81" i="1"/>
  <c r="B80" i="1" l="1"/>
  <c r="B79" i="1" l="1"/>
  <c r="B78" i="1" l="1"/>
  <c r="C81" i="1" s="1"/>
  <c r="B77" i="1" l="1"/>
  <c r="B76" i="1" l="1"/>
  <c r="B75" i="1" l="1"/>
  <c r="B74" i="1" l="1"/>
  <c r="B73" i="1" l="1"/>
  <c r="C76" i="1" s="1"/>
  <c r="B72" i="1" l="1"/>
  <c r="B71" i="1" l="1"/>
  <c r="B70" i="1" l="1"/>
  <c r="B69" i="1" l="1"/>
  <c r="C72" i="1" s="1"/>
  <c r="B68" i="1" l="1"/>
  <c r="B67" i="1" l="1"/>
  <c r="B66" i="1" l="1"/>
  <c r="B65" i="1" l="1"/>
  <c r="C68" i="1" l="1"/>
  <c r="B64" i="1"/>
  <c r="B63" i="1" l="1"/>
  <c r="B62" i="1" l="1"/>
  <c r="B61" i="1" l="1"/>
  <c r="B60" i="1" l="1"/>
  <c r="C63" i="1" s="1"/>
  <c r="B59" i="1" l="1"/>
  <c r="B58" i="1" l="1"/>
  <c r="B57" i="1" l="1"/>
  <c r="B56" i="1" l="1"/>
  <c r="C59" i="1" l="1"/>
  <c r="B55" i="1" l="1"/>
  <c r="B54" i="1" l="1"/>
  <c r="B53" i="1" l="1"/>
  <c r="B52" i="1" l="1"/>
  <c r="C55" i="1" l="1"/>
  <c r="B51" i="1"/>
  <c r="B50" i="1" l="1"/>
  <c r="B49" i="1" l="1"/>
  <c r="B48" i="1" l="1"/>
  <c r="B47" i="1" l="1"/>
  <c r="C50" i="1" l="1"/>
  <c r="B46" i="1" l="1"/>
  <c r="B45" i="1" l="1"/>
  <c r="B44" i="1" l="1"/>
  <c r="B43" i="1" l="1"/>
  <c r="C46" i="1" l="1"/>
  <c r="B42" i="1"/>
  <c r="B41" i="1" l="1"/>
  <c r="B40" i="1" l="1"/>
  <c r="B39" i="1" l="1"/>
  <c r="B38" i="1" l="1"/>
  <c r="C41" i="1" s="1"/>
  <c r="B37" i="1" l="1"/>
  <c r="B36" i="1" l="1"/>
  <c r="B35" i="1" l="1"/>
  <c r="B34" i="1" l="1"/>
  <c r="C37" i="1" s="1"/>
  <c r="B33" i="1" l="1"/>
  <c r="B32" i="1" l="1"/>
  <c r="B31" i="1" l="1"/>
  <c r="B30" i="1" l="1"/>
  <c r="C33" i="1" s="1"/>
  <c r="B29" i="1" l="1"/>
  <c r="B28" i="1" l="1"/>
  <c r="B27" i="1" l="1"/>
  <c r="B26" i="1" l="1"/>
  <c r="C29" i="1" s="1"/>
  <c r="B25" i="1" l="1"/>
  <c r="B24" i="1"/>
  <c r="B23" i="1" l="1"/>
  <c r="B22" i="1" l="1"/>
  <c r="B21" i="1" l="1"/>
  <c r="C24" i="1" s="1"/>
  <c r="B20" i="1" l="1"/>
  <c r="B19" i="1" l="1"/>
  <c r="B18" i="1" l="1"/>
  <c r="B17" i="1" l="1"/>
  <c r="C20" i="1" s="1"/>
  <c r="B16" i="1" l="1"/>
  <c r="B15" i="1" l="1"/>
  <c r="B14" i="1" l="1"/>
  <c r="B13" i="1" l="1"/>
  <c r="C16" i="1" s="1"/>
  <c r="B12" i="1" l="1"/>
  <c r="B11" i="1" l="1"/>
  <c r="B10" i="1" l="1"/>
  <c r="B9" i="1" l="1"/>
  <c r="B8" i="1" l="1"/>
  <c r="C11" i="1" s="1"/>
  <c r="A64" i="1" l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B5" i="2"/>
  <c r="B4" i="2"/>
  <c r="B3" i="2"/>
  <c r="A4" i="2"/>
  <c r="A5" i="2" s="1"/>
  <c r="A5" i="1"/>
  <c r="A6" i="1" s="1"/>
  <c r="A7" i="1" s="1"/>
  <c r="C9" i="2" l="1"/>
  <c r="E3" i="1" s="1"/>
  <c r="D146" i="1" l="1"/>
  <c r="D141" i="1"/>
  <c r="D133" i="1"/>
  <c r="D137" i="1"/>
  <c r="D111" i="1"/>
  <c r="D129" i="1"/>
  <c r="D115" i="1"/>
  <c r="D107" i="1"/>
  <c r="D98" i="1"/>
  <c r="D120" i="1"/>
  <c r="D124" i="1"/>
  <c r="D102" i="1"/>
  <c r="D94" i="1"/>
  <c r="D85" i="1"/>
  <c r="D89" i="1"/>
  <c r="D81" i="1"/>
  <c r="D76" i="1"/>
  <c r="D72" i="1"/>
  <c r="D68" i="1"/>
  <c r="D63" i="1"/>
  <c r="D59" i="1"/>
  <c r="D55" i="1"/>
  <c r="D50" i="1"/>
  <c r="D46" i="1"/>
  <c r="D41" i="1"/>
  <c r="D37" i="1"/>
  <c r="D33" i="1"/>
  <c r="D29" i="1"/>
  <c r="D24" i="1"/>
  <c r="D20" i="1"/>
  <c r="D16" i="1"/>
  <c r="D11" i="1"/>
</calcChain>
</file>

<file path=xl/sharedStrings.xml><?xml version="1.0" encoding="utf-8"?>
<sst xmlns="http://schemas.openxmlformats.org/spreadsheetml/2006/main" count="45" uniqueCount="11">
  <si>
    <t>Week Ending</t>
  </si>
  <si>
    <t>Monthly Performance Price Index (MPPI)</t>
  </si>
  <si>
    <t>BPI =</t>
  </si>
  <si>
    <t>Base Price Index (BPI)</t>
  </si>
  <si>
    <t>Average Selling Prices Asphalt Cement US$/ST</t>
  </si>
  <si>
    <t xml:space="preserve"> </t>
  </si>
  <si>
    <t xml:space="preserve">  </t>
  </si>
  <si>
    <t>Monthly MPPI/BPI Ratio (Min = 0.4, Max = 1.6)</t>
  </si>
  <si>
    <t>Week Ending (Saturday)</t>
  </si>
  <si>
    <t xml:space="preserve">Project: 6982AF20C000038, CA FTNP/NPS YOSE 17(4) &amp; 941(1) Tioga Road &amp; Tuolumne Meadows Parking                                                                                                 Region: West Coast/Northwest
</t>
  </si>
  <si>
    <t>Project: 6982AF20C000038, CA FTNP/NPS YOSE 17(4) &amp; 941(1) Tioga Road &amp; Tuolumne Meadows Parking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</si>
</sst>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164" fontId="0" fillId="0" borderId="3" xfId="0" applyNumberFormat="1" applyBorder="1"/>
    <xf numFmtId="0" fontId="0" fillId="0" borderId="3" xfId="0" applyBorder="1"/>
    <xf numFmtId="0" fontId="0" fillId="2" borderId="3" xfId="0" applyFill="1" applyBorder="1"/>
    <xf numFmtId="2" fontId="0" fillId="0" borderId="3" xfId="0" applyNumberFormat="1" applyBorder="1"/>
    <xf numFmtId="2" fontId="2" fillId="0" borderId="5" xfId="0" applyNumberFormat="1" applyFont="1" applyBorder="1"/>
    <xf numFmtId="2" fontId="2" fillId="0" borderId="3" xfId="0" applyNumberFormat="1" applyFont="1" applyBorder="1"/>
    <xf numFmtId="2" fontId="2" fillId="0" borderId="7" xfId="0" applyNumberFormat="1" applyFont="1" applyBorder="1"/>
    <xf numFmtId="164" fontId="0" fillId="0" borderId="0" xfId="0" applyNumberFormat="1" applyBorder="1"/>
    <xf numFmtId="2" fontId="2" fillId="0" borderId="0" xfId="0" applyNumberFormat="1" applyFont="1" applyBorder="1"/>
    <xf numFmtId="164" fontId="0" fillId="0" borderId="5" xfId="0" applyNumberFormat="1" applyBorder="1"/>
    <xf numFmtId="164" fontId="0" fillId="0" borderId="7" xfId="0" applyNumberFormat="1" applyBorder="1"/>
    <xf numFmtId="0" fontId="0" fillId="2" borderId="11" xfId="0" applyFill="1" applyBorder="1"/>
    <xf numFmtId="0" fontId="0" fillId="2" borderId="12" xfId="0" applyFill="1" applyBorder="1"/>
    <xf numFmtId="0" fontId="1" fillId="3" borderId="4" xfId="0" applyFont="1" applyFill="1" applyBorder="1" applyAlignment="1">
      <alignment horizontal="right" wrapText="1"/>
    </xf>
    <xf numFmtId="165" fontId="1" fillId="3" borderId="6" xfId="0" applyNumberFormat="1" applyFont="1" applyFill="1" applyBorder="1" applyAlignment="1">
      <alignment horizontal="left" wrapText="1"/>
    </xf>
    <xf numFmtId="2" fontId="0" fillId="0" borderId="6" xfId="0" applyNumberFormat="1" applyBorder="1"/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0" fillId="2" borderId="5" xfId="0" applyFill="1" applyBorder="1"/>
    <xf numFmtId="2" fontId="0" fillId="0" borderId="5" xfId="0" applyNumberFormat="1" applyBorder="1"/>
    <xf numFmtId="0" fontId="1" fillId="4" borderId="8" xfId="0" applyFont="1" applyFill="1" applyBorder="1" applyAlignment="1">
      <alignment horizontal="centerContinuous" wrapText="1"/>
    </xf>
    <xf numFmtId="0" fontId="0" fillId="4" borderId="9" xfId="0" applyFill="1" applyBorder="1" applyAlignment="1">
      <alignment horizontal="centerContinuous" wrapText="1"/>
    </xf>
    <xf numFmtId="0" fontId="0" fillId="4" borderId="12" xfId="0" applyFill="1" applyBorder="1" applyAlignment="1">
      <alignment horizontal="centerContinuous" wrapText="1"/>
    </xf>
    <xf numFmtId="166" fontId="0" fillId="0" borderId="5" xfId="0" applyNumberFormat="1" applyBorder="1"/>
    <xf numFmtId="166" fontId="0" fillId="0" borderId="3" xfId="0" applyNumberFormat="1" applyBorder="1"/>
    <xf numFmtId="166" fontId="0" fillId="0" borderId="7" xfId="0" applyNumberFormat="1" applyBorder="1"/>
    <xf numFmtId="2" fontId="0" fillId="0" borderId="7" xfId="0" applyNumberFormat="1" applyBorder="1"/>
    <xf numFmtId="2" fontId="0" fillId="0" borderId="0" xfId="0" applyNumberFormat="1"/>
    <xf numFmtId="164" fontId="0" fillId="0" borderId="8" xfId="0" quotePrefix="1" applyNumberFormat="1" applyBorder="1"/>
    <xf numFmtId="164" fontId="0" fillId="0" borderId="10" xfId="0" quotePrefix="1" applyNumberFormat="1" applyBorder="1"/>
    <xf numFmtId="164" fontId="0" fillId="0" borderId="4" xfId="0" quotePrefix="1" applyNumberFormat="1" applyBorder="1"/>
    <xf numFmtId="2" fontId="2" fillId="0" borderId="16" xfId="0" applyNumberFormat="1" applyFont="1" applyBorder="1"/>
    <xf numFmtId="0" fontId="1" fillId="0" borderId="2" xfId="0" applyFont="1" applyBorder="1" applyAlignment="1">
      <alignment horizontal="center" wrapText="1"/>
    </xf>
    <xf numFmtId="166" fontId="0" fillId="0" borderId="3" xfId="0" applyNumberFormat="1" applyFill="1" applyBorder="1"/>
    <xf numFmtId="2" fontId="0" fillId="0" borderId="3" xfId="0" applyNumberFormat="1" applyFill="1" applyBorder="1"/>
    <xf numFmtId="2" fontId="0" fillId="0" borderId="7" xfId="0" applyNumberFormat="1" applyFill="1" applyBorder="1"/>
    <xf numFmtId="0" fontId="0" fillId="2" borderId="12" xfId="0" applyFill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0" fontId="0" fillId="2" borderId="3" xfId="0" applyFill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165" fontId="0" fillId="2" borderId="10" xfId="0" applyNumberFormat="1" applyFill="1" applyBorder="1"/>
    <xf numFmtId="165" fontId="0" fillId="2" borderId="11" xfId="0" applyNumberFormat="1" applyFill="1" applyBorder="1"/>
    <xf numFmtId="165" fontId="0" fillId="0" borderId="4" xfId="0" applyNumberFormat="1" applyBorder="1"/>
    <xf numFmtId="165" fontId="0" fillId="0" borderId="6" xfId="0" applyNumberFormat="1" applyBorder="1"/>
    <xf numFmtId="0" fontId="0" fillId="2" borderId="8" xfId="0" applyFill="1" applyBorder="1"/>
    <xf numFmtId="0" fontId="0" fillId="2" borderId="12" xfId="0" applyFill="1" applyBorder="1"/>
    <xf numFmtId="0" fontId="0" fillId="2" borderId="8" xfId="0" applyFill="1" applyBorder="1" applyAlignment="1"/>
    <xf numFmtId="0" fontId="0" fillId="2" borderId="12" xfId="0" applyFill="1" applyBorder="1" applyAlignment="1"/>
    <xf numFmtId="0" fontId="0" fillId="2" borderId="10" xfId="0" applyFill="1" applyBorder="1"/>
    <xf numFmtId="0" fontId="0" fillId="2" borderId="11" xfId="0" applyFill="1" applyBorder="1"/>
    <xf numFmtId="0" fontId="0" fillId="2" borderId="9" xfId="0" applyFill="1" applyBorder="1"/>
    <xf numFmtId="165" fontId="0" fillId="2" borderId="0" xfId="0" applyNumberFormat="1" applyFill="1"/>
    <xf numFmtId="0" fontId="0" fillId="2" borderId="9" xfId="0" applyFill="1" applyBorder="1" applyAlignment="1"/>
    <xf numFmtId="0" fontId="0" fillId="0" borderId="12" xfId="0" applyBorder="1" applyAlignment="1"/>
    <xf numFmtId="0" fontId="0" fillId="2" borderId="0" xfId="0" applyFill="1" applyBorder="1" applyAlignment="1"/>
    <xf numFmtId="0" fontId="0" fillId="0" borderId="11" xfId="0" applyBorder="1" applyAlignment="1"/>
    <xf numFmtId="165" fontId="0" fillId="0" borderId="4" xfId="0" applyNumberFormat="1" applyBorder="1" applyAlignment="1"/>
    <xf numFmtId="165" fontId="0" fillId="0" borderId="6" xfId="0" applyNumberFormat="1" applyBorder="1" applyAlignment="1"/>
    <xf numFmtId="165" fontId="0" fillId="2" borderId="0" xfId="0" applyNumberFormat="1" applyFill="1" applyBorder="1" applyAlignment="1"/>
    <xf numFmtId="165" fontId="0" fillId="2" borderId="11" xfId="0" applyNumberFormat="1" applyFill="1" applyBorder="1" applyAlignment="1"/>
    <xf numFmtId="165" fontId="0" fillId="0" borderId="4" xfId="0" applyNumberFormat="1" applyFill="1" applyBorder="1" applyAlignment="1"/>
    <xf numFmtId="165" fontId="0" fillId="0" borderId="6" xfId="0" applyNumberFormat="1" applyFill="1" applyBorder="1" applyAlignment="1"/>
    <xf numFmtId="0" fontId="0" fillId="2" borderId="0" xfId="0" applyFill="1"/>
    <xf numFmtId="0" fontId="0" fillId="0" borderId="11" xfId="0" applyBorder="1"/>
    <xf numFmtId="0" fontId="0" fillId="0" borderId="12" xfId="0" applyBorder="1"/>
    <xf numFmtId="0" fontId="1" fillId="4" borderId="13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0" fillId="2" borderId="10" xfId="0" applyFill="1" applyBorder="1" applyAlignment="1"/>
    <xf numFmtId="0" fontId="0" fillId="2" borderId="11" xfId="0" applyFill="1" applyBorder="1" applyAlignment="1"/>
    <xf numFmtId="0" fontId="1" fillId="3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3" borderId="7" xfId="0" applyFill="1" applyBorder="1" applyAlignment="1">
      <alignment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65" fontId="0" fillId="2" borderId="10" xfId="0" applyNumberForma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9"/>
  <sheetViews>
    <sheetView tabSelected="1" workbookViewId="0">
      <pane ySplit="7" topLeftCell="A176" activePane="bottomLeft" state="frozen"/>
      <selection pane="bottomLeft" activeCell="I188" sqref="I188"/>
    </sheetView>
  </sheetViews>
  <sheetFormatPr defaultRowHeight="12.75" x14ac:dyDescent="0.2"/>
  <cols>
    <col min="1" max="1" width="22.7109375" bestFit="1" customWidth="1"/>
    <col min="2" max="2" width="15.28515625" customWidth="1"/>
    <col min="3" max="3" width="18.28515625" customWidth="1"/>
    <col min="4" max="4" width="13.42578125" customWidth="1"/>
    <col min="5" max="5" width="8.7109375" customWidth="1"/>
    <col min="10" max="10" width="9.28515625" customWidth="1"/>
  </cols>
  <sheetData>
    <row r="1" spans="1:15" ht="52.5" customHeight="1" thickBot="1" x14ac:dyDescent="0.25">
      <c r="A1" s="72" t="s">
        <v>9</v>
      </c>
      <c r="B1" s="73"/>
      <c r="C1" s="73"/>
      <c r="D1" s="73"/>
      <c r="E1" s="74"/>
    </row>
    <row r="2" spans="1:15" ht="26.45" customHeight="1" x14ac:dyDescent="0.2">
      <c r="A2" s="77" t="s">
        <v>8</v>
      </c>
      <c r="B2" s="83" t="s">
        <v>4</v>
      </c>
      <c r="C2" s="81" t="s">
        <v>1</v>
      </c>
      <c r="D2" s="79" t="s">
        <v>7</v>
      </c>
      <c r="E2" s="80"/>
    </row>
    <row r="3" spans="1:15" ht="15.75" customHeight="1" thickBot="1" x14ac:dyDescent="0.25">
      <c r="A3" s="78"/>
      <c r="B3" s="84"/>
      <c r="C3" s="82"/>
      <c r="D3" s="15" t="s">
        <v>2</v>
      </c>
      <c r="E3" s="16">
        <f>BPI!C9</f>
        <v>356.25</v>
      </c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3.5" hidden="1" thickBot="1" x14ac:dyDescent="0.25">
      <c r="A4" s="2">
        <v>38779</v>
      </c>
      <c r="B4" s="3"/>
      <c r="C4" s="4"/>
      <c r="D4" s="53"/>
      <c r="E4" s="54"/>
    </row>
    <row r="5" spans="1:15" ht="13.5" hidden="1" thickBot="1" x14ac:dyDescent="0.25">
      <c r="A5" s="2">
        <f t="shared" ref="A5:A7" si="0">A4+7</f>
        <v>38786</v>
      </c>
      <c r="B5" s="3"/>
      <c r="C5" s="4"/>
      <c r="D5" s="75"/>
      <c r="E5" s="76"/>
    </row>
    <row r="6" spans="1:15" ht="13.5" hidden="1" thickBot="1" x14ac:dyDescent="0.25">
      <c r="A6" s="2">
        <f t="shared" si="0"/>
        <v>38793</v>
      </c>
      <c r="B6" s="3"/>
      <c r="C6" s="4"/>
      <c r="D6" s="75"/>
      <c r="E6" s="76"/>
    </row>
    <row r="7" spans="1:15" ht="13.5" hidden="1" thickBot="1" x14ac:dyDescent="0.25">
      <c r="A7" s="2">
        <f t="shared" si="0"/>
        <v>38800</v>
      </c>
      <c r="B7" s="3"/>
      <c r="C7" s="4"/>
      <c r="D7" s="75"/>
      <c r="E7" s="76"/>
    </row>
    <row r="8" spans="1:15" x14ac:dyDescent="0.2">
      <c r="A8" s="25">
        <v>44079</v>
      </c>
      <c r="B8" s="21">
        <f>(340+420+330+360+315+380)/6</f>
        <v>357.5</v>
      </c>
      <c r="C8" s="20"/>
      <c r="D8" s="59"/>
      <c r="E8" s="54"/>
    </row>
    <row r="9" spans="1:15" x14ac:dyDescent="0.2">
      <c r="A9" s="35">
        <v>44086</v>
      </c>
      <c r="B9" s="36">
        <f>(340+420+330+360+315+380)/6</f>
        <v>357.5</v>
      </c>
      <c r="C9" s="4"/>
      <c r="D9" s="65"/>
      <c r="E9" s="66"/>
    </row>
    <row r="10" spans="1:15" x14ac:dyDescent="0.2">
      <c r="A10" s="26">
        <v>44093</v>
      </c>
      <c r="B10" s="5">
        <f>(340+420+330+360+315+380)/6</f>
        <v>357.5</v>
      </c>
      <c r="C10" s="4"/>
      <c r="D10" s="65"/>
      <c r="E10" s="66"/>
    </row>
    <row r="11" spans="1:15" ht="13.5" thickBot="1" x14ac:dyDescent="0.25">
      <c r="A11" s="27">
        <v>44100</v>
      </c>
      <c r="B11" s="28">
        <f>(340+420+330+360+315+380)/6</f>
        <v>357.5</v>
      </c>
      <c r="C11" s="37">
        <f>SUM(B8:B11)/COUNTA(B8:B11)</f>
        <v>357.5</v>
      </c>
      <c r="D11" s="67">
        <f>C11/E$3</f>
        <v>1.0035087719298246</v>
      </c>
      <c r="E11" s="68"/>
    </row>
    <row r="12" spans="1:15" x14ac:dyDescent="0.2">
      <c r="A12" s="11">
        <v>44107</v>
      </c>
      <c r="B12" s="6">
        <f>(340+410+330+360+315+370)/6</f>
        <v>354.16666666666669</v>
      </c>
      <c r="C12" s="20"/>
      <c r="D12" s="59"/>
      <c r="E12" s="60"/>
    </row>
    <row r="13" spans="1:15" x14ac:dyDescent="0.2">
      <c r="A13" s="2">
        <v>44114</v>
      </c>
      <c r="B13" s="7">
        <f>(330+375+330+360+315+370)/6</f>
        <v>346.66666666666669</v>
      </c>
      <c r="C13" s="4"/>
      <c r="D13" s="61"/>
      <c r="E13" s="62"/>
    </row>
    <row r="14" spans="1:15" x14ac:dyDescent="0.2">
      <c r="A14" s="2">
        <v>44121</v>
      </c>
      <c r="B14" s="7">
        <f>(330+375+330+360+315+370)/6</f>
        <v>346.66666666666669</v>
      </c>
      <c r="C14" s="4"/>
      <c r="D14" s="61"/>
      <c r="E14" s="62"/>
    </row>
    <row r="15" spans="1:15" x14ac:dyDescent="0.2">
      <c r="A15" s="2">
        <v>44128</v>
      </c>
      <c r="B15" s="7">
        <f>(340+375+330+360+315+360)/6</f>
        <v>346.66666666666669</v>
      </c>
      <c r="C15" s="4"/>
      <c r="D15" s="61"/>
      <c r="E15" s="62"/>
    </row>
    <row r="16" spans="1:15" ht="13.5" thickBot="1" x14ac:dyDescent="0.25">
      <c r="A16" s="12">
        <v>44135</v>
      </c>
      <c r="B16" s="8">
        <f>(340+375+330+360+315+360)/6</f>
        <v>346.66666666666669</v>
      </c>
      <c r="C16" s="17">
        <f>SUM(B13:B16)/COUNTA(B13:B16)</f>
        <v>346.66666666666669</v>
      </c>
      <c r="D16" s="63">
        <f>C16/E$3</f>
        <v>0.97309941520467846</v>
      </c>
      <c r="E16" s="64"/>
    </row>
    <row r="17" spans="1:5" x14ac:dyDescent="0.2">
      <c r="A17" s="25">
        <v>44142</v>
      </c>
      <c r="B17" s="5">
        <f>(320+370+330+360+315+360)/6</f>
        <v>342.5</v>
      </c>
      <c r="C17" s="20"/>
      <c r="D17" s="59"/>
      <c r="E17" s="54"/>
    </row>
    <row r="18" spans="1:5" x14ac:dyDescent="0.2">
      <c r="A18" s="26">
        <v>44149</v>
      </c>
      <c r="B18" s="29">
        <f>(320+370+330+360+315+360)/6</f>
        <v>342.5</v>
      </c>
      <c r="C18" s="4"/>
      <c r="D18" s="65"/>
      <c r="E18" s="66"/>
    </row>
    <row r="19" spans="1:5" x14ac:dyDescent="0.2">
      <c r="A19" s="26">
        <v>44156</v>
      </c>
      <c r="B19" s="5">
        <f>(320+370+330+360+315+360)/6</f>
        <v>342.5</v>
      </c>
      <c r="C19" s="4"/>
      <c r="D19" s="65"/>
      <c r="E19" s="66"/>
    </row>
    <row r="20" spans="1:5" ht="13.5" thickBot="1" x14ac:dyDescent="0.25">
      <c r="A20" s="27">
        <v>44163</v>
      </c>
      <c r="B20" s="28">
        <f>(320+370+330+360+315+360)/6</f>
        <v>342.5</v>
      </c>
      <c r="C20" s="28">
        <f>SUM(B17:B20)/COUNTA(B17:B20)</f>
        <v>342.5</v>
      </c>
      <c r="D20" s="67">
        <f>C20/E$3</f>
        <v>0.96140350877192982</v>
      </c>
      <c r="E20" s="68"/>
    </row>
    <row r="21" spans="1:5" x14ac:dyDescent="0.2">
      <c r="A21" s="25">
        <v>44170</v>
      </c>
      <c r="B21" s="5">
        <f>(320+350+330+360+315+360)/6</f>
        <v>339.16666666666669</v>
      </c>
      <c r="C21" s="20"/>
      <c r="D21" s="59"/>
      <c r="E21" s="54"/>
    </row>
    <row r="22" spans="1:5" x14ac:dyDescent="0.2">
      <c r="A22" s="26">
        <v>44177</v>
      </c>
      <c r="B22" s="29">
        <f>(320+350+330+360+315+360)/6</f>
        <v>339.16666666666669</v>
      </c>
      <c r="C22" s="4"/>
      <c r="D22" s="65"/>
      <c r="E22" s="66"/>
    </row>
    <row r="23" spans="1:5" x14ac:dyDescent="0.2">
      <c r="A23" s="26">
        <v>44184</v>
      </c>
      <c r="B23" s="5">
        <f>(320+350+330+360+315+360)/6</f>
        <v>339.16666666666669</v>
      </c>
      <c r="C23" s="4"/>
      <c r="D23" s="65"/>
      <c r="E23" s="66"/>
    </row>
    <row r="24" spans="1:5" ht="13.5" thickBot="1" x14ac:dyDescent="0.25">
      <c r="A24" s="27">
        <v>44191</v>
      </c>
      <c r="B24" s="28">
        <f t="shared" ref="B24:B25" si="1">(320+350+330+360+315+360)/6</f>
        <v>339.16666666666669</v>
      </c>
      <c r="C24" s="28">
        <f>SUM(B21:B24)/COUNTA(B21:B24)</f>
        <v>339.16666666666669</v>
      </c>
      <c r="D24" s="67">
        <f>C24/E$3</f>
        <v>0.95204678362573103</v>
      </c>
      <c r="E24" s="68"/>
    </row>
    <row r="25" spans="1:5" x14ac:dyDescent="0.2">
      <c r="A25" s="11">
        <v>44198</v>
      </c>
      <c r="B25" s="6">
        <f t="shared" si="1"/>
        <v>339.16666666666669</v>
      </c>
      <c r="C25" s="20"/>
      <c r="D25" s="59"/>
      <c r="E25" s="60"/>
    </row>
    <row r="26" spans="1:5" x14ac:dyDescent="0.2">
      <c r="A26" s="2">
        <v>44205</v>
      </c>
      <c r="B26" s="7">
        <f>(320+380+330+360+315+360)/6</f>
        <v>344.16666666666669</v>
      </c>
      <c r="C26" s="4"/>
      <c r="D26" s="61"/>
      <c r="E26" s="62"/>
    </row>
    <row r="27" spans="1:5" x14ac:dyDescent="0.2">
      <c r="A27" s="2">
        <v>44212</v>
      </c>
      <c r="B27" s="7">
        <f>(320+380+330+360+315+390)/6</f>
        <v>349.16666666666669</v>
      </c>
      <c r="C27" s="4"/>
      <c r="D27" s="61"/>
      <c r="E27" s="62"/>
    </row>
    <row r="28" spans="1:5" x14ac:dyDescent="0.2">
      <c r="A28" s="2">
        <v>44219</v>
      </c>
      <c r="B28" s="7">
        <f>(320+380+330+360+315+390)/6</f>
        <v>349.16666666666669</v>
      </c>
      <c r="C28" s="4"/>
      <c r="D28" s="61"/>
      <c r="E28" s="62"/>
    </row>
    <row r="29" spans="1:5" ht="13.5" thickBot="1" x14ac:dyDescent="0.25">
      <c r="A29" s="12">
        <v>44226</v>
      </c>
      <c r="B29" s="8">
        <f>(320+380+340+370+315+390)/6</f>
        <v>352.5</v>
      </c>
      <c r="C29" s="17">
        <f>SUM(B26:B29)/COUNTA(B26:B29)</f>
        <v>348.75</v>
      </c>
      <c r="D29" s="63">
        <f>C29/E$3</f>
        <v>0.97894736842105268</v>
      </c>
      <c r="E29" s="64"/>
    </row>
    <row r="30" spans="1:5" x14ac:dyDescent="0.2">
      <c r="A30" s="25">
        <v>44233</v>
      </c>
      <c r="B30" s="5">
        <f>(340+380+350+370+360+400)/6</f>
        <v>366.66666666666669</v>
      </c>
      <c r="C30" s="20"/>
      <c r="D30" s="59"/>
      <c r="E30" s="54"/>
    </row>
    <row r="31" spans="1:5" x14ac:dyDescent="0.2">
      <c r="A31" s="26">
        <v>44240</v>
      </c>
      <c r="B31" s="29">
        <f>(340+390+350+370+360+400)/6</f>
        <v>368.33333333333331</v>
      </c>
      <c r="C31" s="4"/>
      <c r="D31" s="65"/>
      <c r="E31" s="66"/>
    </row>
    <row r="32" spans="1:5" x14ac:dyDescent="0.2">
      <c r="A32" s="26">
        <v>44247</v>
      </c>
      <c r="B32" s="5">
        <f>(340+390+350+370+360+400)/6</f>
        <v>368.33333333333331</v>
      </c>
      <c r="C32" s="4"/>
      <c r="D32" s="65"/>
      <c r="E32" s="66"/>
    </row>
    <row r="33" spans="1:5" ht="13.5" thickBot="1" x14ac:dyDescent="0.25">
      <c r="A33" s="27">
        <v>44254</v>
      </c>
      <c r="B33" s="28">
        <f>(340+390+350+370+360+400)/6</f>
        <v>368.33333333333331</v>
      </c>
      <c r="C33" s="28">
        <f>SUM(B30:B33)/COUNTA(B30:B33)</f>
        <v>367.91666666666663</v>
      </c>
      <c r="D33" s="67">
        <f>C33/E$3</f>
        <v>1.0327485380116959</v>
      </c>
      <c r="E33" s="68"/>
    </row>
    <row r="34" spans="1:5" x14ac:dyDescent="0.2">
      <c r="A34" s="25">
        <v>44261</v>
      </c>
      <c r="B34" s="5">
        <f>(350+425+350+390+360+430)/6</f>
        <v>384.16666666666669</v>
      </c>
      <c r="C34" s="20"/>
      <c r="D34" s="59"/>
      <c r="E34" s="54"/>
    </row>
    <row r="35" spans="1:5" x14ac:dyDescent="0.2">
      <c r="A35" s="26">
        <v>44268</v>
      </c>
      <c r="B35" s="29">
        <f>(350+425+380+390+380+430)/6</f>
        <v>392.5</v>
      </c>
      <c r="C35" s="4"/>
      <c r="D35" s="65"/>
      <c r="E35" s="66"/>
    </row>
    <row r="36" spans="1:5" x14ac:dyDescent="0.2">
      <c r="A36" s="26">
        <v>44275</v>
      </c>
      <c r="B36" s="5">
        <f>(375+425+380+390+380+430)/6</f>
        <v>396.66666666666669</v>
      </c>
      <c r="C36" s="4"/>
      <c r="D36" s="65"/>
      <c r="E36" s="66"/>
    </row>
    <row r="37" spans="1:5" ht="13.5" thickBot="1" x14ac:dyDescent="0.25">
      <c r="A37" s="27">
        <v>44282</v>
      </c>
      <c r="B37" s="28">
        <f>(375+425+380+390+380+430)/6</f>
        <v>396.66666666666669</v>
      </c>
      <c r="C37" s="28">
        <f>SUM(B34:B37)/COUNTA(B34:B37)</f>
        <v>392.50000000000006</v>
      </c>
      <c r="D37" s="67">
        <f>C37/E$3</f>
        <v>1.1017543859649124</v>
      </c>
      <c r="E37" s="68"/>
    </row>
    <row r="38" spans="1:5" x14ac:dyDescent="0.2">
      <c r="A38" s="25">
        <v>44289</v>
      </c>
      <c r="B38" s="5">
        <f>(375+450+380+400+380+445)/6</f>
        <v>405</v>
      </c>
      <c r="C38" s="20"/>
      <c r="D38" s="59"/>
      <c r="E38" s="54"/>
    </row>
    <row r="39" spans="1:5" x14ac:dyDescent="0.2">
      <c r="A39" s="26">
        <v>44296</v>
      </c>
      <c r="B39" s="29">
        <f>(425+450+400+410+405+445)/6</f>
        <v>422.5</v>
      </c>
      <c r="C39" s="4"/>
      <c r="D39" s="65"/>
      <c r="E39" s="66"/>
    </row>
    <row r="40" spans="1:5" x14ac:dyDescent="0.2">
      <c r="A40" s="26">
        <v>44303</v>
      </c>
      <c r="B40" s="5">
        <f>(425+450+400+410+405+445)/6</f>
        <v>422.5</v>
      </c>
      <c r="C40" s="4"/>
      <c r="D40" s="65"/>
      <c r="E40" s="66"/>
    </row>
    <row r="41" spans="1:5" ht="13.5" thickBot="1" x14ac:dyDescent="0.25">
      <c r="A41" s="27">
        <v>44310</v>
      </c>
      <c r="B41" s="28">
        <f>(425+450+400+410+405+445)/6</f>
        <v>422.5</v>
      </c>
      <c r="C41" s="28">
        <f>SUM(B38:B41)/COUNTA(B38:B41)</f>
        <v>418.125</v>
      </c>
      <c r="D41" s="67">
        <f>C41/E$3</f>
        <v>1.1736842105263159</v>
      </c>
      <c r="E41" s="68"/>
    </row>
    <row r="42" spans="1:5" x14ac:dyDescent="0.2">
      <c r="A42" s="11">
        <v>44317</v>
      </c>
      <c r="B42" s="6">
        <f>(425+450+400+410+405+445)/6</f>
        <v>422.5</v>
      </c>
      <c r="C42" s="20"/>
      <c r="D42" s="59"/>
      <c r="E42" s="60"/>
    </row>
    <row r="43" spans="1:5" x14ac:dyDescent="0.2">
      <c r="A43" s="2">
        <v>44324</v>
      </c>
      <c r="B43" s="7">
        <f>(440+500+400+410+405+445)/6</f>
        <v>433.33333333333331</v>
      </c>
      <c r="C43" s="4"/>
      <c r="D43" s="61"/>
      <c r="E43" s="62"/>
    </row>
    <row r="44" spans="1:5" x14ac:dyDescent="0.2">
      <c r="A44" s="2">
        <v>44331</v>
      </c>
      <c r="B44" s="7">
        <f>(440+500+400+410+405+445)/6</f>
        <v>433.33333333333331</v>
      </c>
      <c r="C44" s="4"/>
      <c r="D44" s="61"/>
      <c r="E44" s="62"/>
    </row>
    <row r="45" spans="1:5" x14ac:dyDescent="0.2">
      <c r="A45" s="2">
        <v>44338</v>
      </c>
      <c r="B45" s="7">
        <f>(440+500+400+410+405+445)/6</f>
        <v>433.33333333333331</v>
      </c>
      <c r="C45" s="4"/>
      <c r="D45" s="61"/>
      <c r="E45" s="62"/>
    </row>
    <row r="46" spans="1:5" ht="13.5" thickBot="1" x14ac:dyDescent="0.25">
      <c r="A46" s="12">
        <v>44345</v>
      </c>
      <c r="B46" s="8">
        <f>(440+500+400+410+405+445)/6</f>
        <v>433.33333333333331</v>
      </c>
      <c r="C46" s="17">
        <f>SUM(B43:B46)/COUNTA(B43:B46)</f>
        <v>433.33333333333331</v>
      </c>
      <c r="D46" s="63">
        <f>C46/E$3</f>
        <v>1.2163742690058479</v>
      </c>
      <c r="E46" s="64"/>
    </row>
    <row r="47" spans="1:5" x14ac:dyDescent="0.2">
      <c r="A47" s="25">
        <v>44352</v>
      </c>
      <c r="B47" s="5">
        <f>(440+500+400+410+405+445)/6</f>
        <v>433.33333333333331</v>
      </c>
      <c r="C47" s="20"/>
      <c r="D47" s="59"/>
      <c r="E47" s="54"/>
    </row>
    <row r="48" spans="1:5" x14ac:dyDescent="0.2">
      <c r="A48" s="26">
        <v>44359</v>
      </c>
      <c r="B48" s="29">
        <f>(440+500+405+450+405+450)/6</f>
        <v>441.66666666666669</v>
      </c>
      <c r="C48" s="4"/>
      <c r="D48" s="65"/>
      <c r="E48" s="66"/>
    </row>
    <row r="49" spans="1:5" x14ac:dyDescent="0.2">
      <c r="A49" s="26">
        <v>44366</v>
      </c>
      <c r="B49" s="5">
        <f>(440+525+405+450+405+450)/6</f>
        <v>445.83333333333331</v>
      </c>
      <c r="C49" s="4"/>
      <c r="D49" s="65"/>
      <c r="E49" s="66"/>
    </row>
    <row r="50" spans="1:5" ht="13.5" thickBot="1" x14ac:dyDescent="0.25">
      <c r="A50" s="27">
        <v>44373</v>
      </c>
      <c r="B50" s="28">
        <f>(470+525+405+450+405+450)/6</f>
        <v>450.83333333333331</v>
      </c>
      <c r="C50" s="28">
        <f>SUM(B47:B50)/COUNTA(B47:B50)</f>
        <v>442.91666666666663</v>
      </c>
      <c r="D50" s="67">
        <f>C50/E$3</f>
        <v>1.2432748538011695</v>
      </c>
      <c r="E50" s="68"/>
    </row>
    <row r="51" spans="1:5" x14ac:dyDescent="0.2">
      <c r="A51" s="11">
        <v>44380</v>
      </c>
      <c r="B51" s="6">
        <f>(470+550+430+460+430+480)/6</f>
        <v>470</v>
      </c>
      <c r="C51" s="20"/>
      <c r="D51" s="57"/>
      <c r="E51" s="71"/>
    </row>
    <row r="52" spans="1:5" x14ac:dyDescent="0.2">
      <c r="A52" s="2">
        <v>44387</v>
      </c>
      <c r="B52" s="7">
        <f>(490+550+440+470+450+480)/6</f>
        <v>480</v>
      </c>
      <c r="C52" s="4"/>
      <c r="D52" s="69"/>
      <c r="E52" s="70"/>
    </row>
    <row r="53" spans="1:5" x14ac:dyDescent="0.2">
      <c r="A53" s="2">
        <v>44394</v>
      </c>
      <c r="B53" s="7">
        <f>(490+550+440+470+450+480)/6</f>
        <v>480</v>
      </c>
      <c r="C53" s="4"/>
      <c r="D53" s="69"/>
      <c r="E53" s="70"/>
    </row>
    <row r="54" spans="1:5" x14ac:dyDescent="0.2">
      <c r="A54" s="2">
        <v>44401</v>
      </c>
      <c r="B54" s="7">
        <f>(490+550+440+470+450+480)/6</f>
        <v>480</v>
      </c>
      <c r="C54" s="4"/>
      <c r="D54" s="69"/>
      <c r="E54" s="70"/>
    </row>
    <row r="55" spans="1:5" ht="13.5" thickBot="1" x14ac:dyDescent="0.25">
      <c r="A55" s="12">
        <v>44408</v>
      </c>
      <c r="B55" s="8">
        <f>(490+550+440+470+450+480)/6</f>
        <v>480</v>
      </c>
      <c r="C55" s="17">
        <f>SUM(B52:B55)/COUNTA(B52:B55)</f>
        <v>480</v>
      </c>
      <c r="D55" s="49">
        <f>C55/E$3</f>
        <v>1.3473684210526315</v>
      </c>
      <c r="E55" s="50"/>
    </row>
    <row r="56" spans="1:5" x14ac:dyDescent="0.2">
      <c r="A56" s="25">
        <v>44415</v>
      </c>
      <c r="B56" s="5">
        <f>(490+550+445+485+455+480)/6</f>
        <v>484.16666666666669</v>
      </c>
      <c r="C56" s="20"/>
      <c r="D56" s="57"/>
      <c r="E56" s="52"/>
    </row>
    <row r="57" spans="1:5" x14ac:dyDescent="0.2">
      <c r="A57" s="26">
        <v>44422</v>
      </c>
      <c r="B57" s="29">
        <f>(490+550+455+485+455+480)/6</f>
        <v>485.83333333333331</v>
      </c>
      <c r="C57" s="4"/>
      <c r="D57" s="58"/>
      <c r="E57" s="48"/>
    </row>
    <row r="58" spans="1:5" x14ac:dyDescent="0.2">
      <c r="A58" s="26">
        <v>44429</v>
      </c>
      <c r="B58" s="5">
        <f>(490+550+455+485+455+480)/6</f>
        <v>485.83333333333331</v>
      </c>
      <c r="C58" s="4"/>
      <c r="D58" s="58"/>
      <c r="E58" s="48"/>
    </row>
    <row r="59" spans="1:5" ht="13.5" thickBot="1" x14ac:dyDescent="0.25">
      <c r="A59" s="27">
        <v>44436</v>
      </c>
      <c r="B59" s="28">
        <f>(490+550+455+485+455+480)/6</f>
        <v>485.83333333333331</v>
      </c>
      <c r="C59" s="28">
        <f>SUM(B56:B59)/COUNTA(B56:B59)</f>
        <v>485.41666666666663</v>
      </c>
      <c r="D59" s="49">
        <f>C59/E$3</f>
        <v>1.3625730994152045</v>
      </c>
      <c r="E59" s="50"/>
    </row>
    <row r="60" spans="1:5" x14ac:dyDescent="0.2">
      <c r="A60" s="25">
        <v>44443</v>
      </c>
      <c r="B60" s="5">
        <f>(490+560+460+485+455+480)/6</f>
        <v>488.33333333333331</v>
      </c>
      <c r="C60" s="20"/>
      <c r="D60" s="57"/>
      <c r="E60" s="52"/>
    </row>
    <row r="61" spans="1:5" x14ac:dyDescent="0.2">
      <c r="A61" s="26">
        <v>44450</v>
      </c>
      <c r="B61" s="29">
        <f>(490+550+460+485+455+480)/6</f>
        <v>486.66666666666669</v>
      </c>
      <c r="C61" s="4"/>
      <c r="D61" s="58"/>
      <c r="E61" s="48"/>
    </row>
    <row r="62" spans="1:5" x14ac:dyDescent="0.2">
      <c r="A62" s="26">
        <v>44457</v>
      </c>
      <c r="B62" s="5">
        <f>(490+550+460+485+455+480)/6</f>
        <v>486.66666666666669</v>
      </c>
      <c r="C62" s="4"/>
      <c r="D62" s="58"/>
      <c r="E62" s="48"/>
    </row>
    <row r="63" spans="1:5" ht="13.5" thickBot="1" x14ac:dyDescent="0.25">
      <c r="A63" s="27">
        <v>44464</v>
      </c>
      <c r="B63" s="28">
        <f>(490+550+460+485+455+480)/6</f>
        <v>486.66666666666669</v>
      </c>
      <c r="C63" s="28">
        <f>SUM(B60:B63)/COUNTA(B60:B63)</f>
        <v>487.08333333333337</v>
      </c>
      <c r="D63" s="49">
        <f>C63/E$3</f>
        <v>1.3672514619883043</v>
      </c>
      <c r="E63" s="50"/>
    </row>
    <row r="64" spans="1:5" x14ac:dyDescent="0.2">
      <c r="A64" s="11">
        <f t="shared" ref="A64:A88" si="2">A63+7</f>
        <v>44471</v>
      </c>
      <c r="B64" s="6">
        <f>(490+550+460+485+455+480)/6</f>
        <v>486.66666666666669</v>
      </c>
      <c r="C64" s="20"/>
      <c r="D64" s="59"/>
      <c r="E64" s="60"/>
    </row>
    <row r="65" spans="1:5" x14ac:dyDescent="0.2">
      <c r="A65" s="2">
        <f t="shared" si="2"/>
        <v>44478</v>
      </c>
      <c r="B65" s="7">
        <f>(490+550+460+485+455+480)/6</f>
        <v>486.66666666666669</v>
      </c>
      <c r="C65" s="4"/>
      <c r="D65" s="61"/>
      <c r="E65" s="62"/>
    </row>
    <row r="66" spans="1:5" x14ac:dyDescent="0.2">
      <c r="A66" s="2">
        <f t="shared" si="2"/>
        <v>44485</v>
      </c>
      <c r="B66" s="7">
        <f>(500+550+460+500+455+480)/6</f>
        <v>490.83333333333331</v>
      </c>
      <c r="C66" s="4"/>
      <c r="D66" s="61"/>
      <c r="E66" s="62"/>
    </row>
    <row r="67" spans="1:5" x14ac:dyDescent="0.2">
      <c r="A67" s="2">
        <f t="shared" si="2"/>
        <v>44492</v>
      </c>
      <c r="B67" s="7">
        <f>(515+550+460+500+455+480)/6</f>
        <v>493.33333333333331</v>
      </c>
      <c r="C67" s="4"/>
      <c r="D67" s="61"/>
      <c r="E67" s="62"/>
    </row>
    <row r="68" spans="1:5" ht="13.5" thickBot="1" x14ac:dyDescent="0.25">
      <c r="A68" s="2">
        <f t="shared" si="2"/>
        <v>44499</v>
      </c>
      <c r="B68" s="8">
        <f>(515+550+460+500+455+480)/6</f>
        <v>493.33333333333331</v>
      </c>
      <c r="C68" s="17">
        <f>SUM(B65:B68)/COUNTA(B65:B68)</f>
        <v>491.04166666666663</v>
      </c>
      <c r="D68" s="63">
        <f>C68/E$3</f>
        <v>1.3783625730994151</v>
      </c>
      <c r="E68" s="64"/>
    </row>
    <row r="69" spans="1:5" x14ac:dyDescent="0.2">
      <c r="A69" s="25">
        <f t="shared" si="2"/>
        <v>44506</v>
      </c>
      <c r="B69" s="5">
        <f>(515+550+520+540+480+520)/6</f>
        <v>520.83333333333337</v>
      </c>
      <c r="C69" s="20"/>
      <c r="D69" s="57"/>
      <c r="E69" s="52"/>
    </row>
    <row r="70" spans="1:5" x14ac:dyDescent="0.2">
      <c r="A70" s="26">
        <f t="shared" si="2"/>
        <v>44513</v>
      </c>
      <c r="B70" s="29">
        <f>(515+550+520+540+480+520)/6</f>
        <v>520.83333333333337</v>
      </c>
      <c r="C70" s="4"/>
      <c r="D70" s="58"/>
      <c r="E70" s="48"/>
    </row>
    <row r="71" spans="1:5" x14ac:dyDescent="0.2">
      <c r="A71" s="26">
        <f t="shared" si="2"/>
        <v>44520</v>
      </c>
      <c r="B71" s="5">
        <f t="shared" ref="B71:B76" si="3">(515+570+520+540+480+520)/6</f>
        <v>524.16666666666663</v>
      </c>
      <c r="C71" s="4"/>
      <c r="D71" s="58"/>
      <c r="E71" s="48"/>
    </row>
    <row r="72" spans="1:5" ht="13.5" thickBot="1" x14ac:dyDescent="0.25">
      <c r="A72" s="27">
        <f t="shared" si="2"/>
        <v>44527</v>
      </c>
      <c r="B72" s="28">
        <f t="shared" si="3"/>
        <v>524.16666666666663</v>
      </c>
      <c r="C72" s="28">
        <f>SUM(B69:B72)/COUNTA(B69:B72)</f>
        <v>522.5</v>
      </c>
      <c r="D72" s="49">
        <f>C72/E$3</f>
        <v>1.4666666666666666</v>
      </c>
      <c r="E72" s="50"/>
    </row>
    <row r="73" spans="1:5" x14ac:dyDescent="0.2">
      <c r="A73" s="25">
        <f t="shared" si="2"/>
        <v>44534</v>
      </c>
      <c r="B73" s="5">
        <f t="shared" si="3"/>
        <v>524.16666666666663</v>
      </c>
      <c r="C73" s="20"/>
      <c r="D73" s="57"/>
      <c r="E73" s="52"/>
    </row>
    <row r="74" spans="1:5" x14ac:dyDescent="0.2">
      <c r="A74" s="26">
        <f t="shared" si="2"/>
        <v>44541</v>
      </c>
      <c r="B74" s="5">
        <f t="shared" si="3"/>
        <v>524.16666666666663</v>
      </c>
      <c r="C74" s="4"/>
      <c r="D74" s="58"/>
      <c r="E74" s="48"/>
    </row>
    <row r="75" spans="1:5" x14ac:dyDescent="0.2">
      <c r="A75" s="26">
        <f t="shared" si="2"/>
        <v>44548</v>
      </c>
      <c r="B75" s="5">
        <f t="shared" si="3"/>
        <v>524.16666666666663</v>
      </c>
      <c r="C75" s="4"/>
      <c r="D75" s="58"/>
      <c r="E75" s="48"/>
    </row>
    <row r="76" spans="1:5" ht="13.5" thickBot="1" x14ac:dyDescent="0.25">
      <c r="A76" s="27">
        <f t="shared" si="2"/>
        <v>44555</v>
      </c>
      <c r="B76" s="28">
        <f t="shared" si="3"/>
        <v>524.16666666666663</v>
      </c>
      <c r="C76" s="28">
        <f>SUM(B73:B76)/COUNTA(B73:B76)</f>
        <v>524.16666666666663</v>
      </c>
      <c r="D76" s="49">
        <f>C76/E$3</f>
        <v>1.4713450292397661</v>
      </c>
      <c r="E76" s="50"/>
    </row>
    <row r="77" spans="1:5" x14ac:dyDescent="0.2">
      <c r="A77" s="11">
        <f t="shared" si="2"/>
        <v>44562</v>
      </c>
      <c r="B77" s="6">
        <f>(515+570+520+540+480+510)/6</f>
        <v>522.5</v>
      </c>
      <c r="C77" s="20"/>
      <c r="D77" s="57"/>
      <c r="E77" s="71"/>
    </row>
    <row r="78" spans="1:5" x14ac:dyDescent="0.2">
      <c r="A78" s="2">
        <f t="shared" si="2"/>
        <v>44569</v>
      </c>
      <c r="B78" s="7">
        <f>(515+570+520+540+480+510)/6</f>
        <v>522.5</v>
      </c>
      <c r="C78" s="4"/>
      <c r="D78" s="69"/>
      <c r="E78" s="70"/>
    </row>
    <row r="79" spans="1:5" x14ac:dyDescent="0.2">
      <c r="A79" s="2">
        <f t="shared" si="2"/>
        <v>44576</v>
      </c>
      <c r="B79" s="7">
        <f>(515+570+520+540+480+510)/6</f>
        <v>522.5</v>
      </c>
      <c r="C79" s="4"/>
      <c r="D79" s="69"/>
      <c r="E79" s="70"/>
    </row>
    <row r="80" spans="1:5" x14ac:dyDescent="0.2">
      <c r="A80" s="2">
        <f t="shared" si="2"/>
        <v>44583</v>
      </c>
      <c r="B80" s="7">
        <f>(515+570+520+540+480+510)/6</f>
        <v>522.5</v>
      </c>
      <c r="C80" s="4"/>
      <c r="D80" s="69"/>
      <c r="E80" s="70"/>
    </row>
    <row r="81" spans="1:5" ht="13.5" thickBot="1" x14ac:dyDescent="0.25">
      <c r="A81" s="12">
        <f t="shared" si="2"/>
        <v>44590</v>
      </c>
      <c r="B81" s="8">
        <f>(515+570+520+540+480+510)/6</f>
        <v>522.5</v>
      </c>
      <c r="C81" s="17">
        <f>SUM(B78:B81)/COUNTA(B78:B81)</f>
        <v>522.5</v>
      </c>
      <c r="D81" s="49">
        <f>C81/E$3</f>
        <v>1.4666666666666666</v>
      </c>
      <c r="E81" s="50"/>
    </row>
    <row r="82" spans="1:5" x14ac:dyDescent="0.2">
      <c r="A82" s="25">
        <f t="shared" si="2"/>
        <v>44597</v>
      </c>
      <c r="B82" s="5">
        <f>(550+585+530+540+520+540)/6</f>
        <v>544.16666666666663</v>
      </c>
      <c r="C82" s="20"/>
      <c r="D82" s="57"/>
      <c r="E82" s="52"/>
    </row>
    <row r="83" spans="1:5" x14ac:dyDescent="0.2">
      <c r="A83" s="26">
        <f t="shared" si="2"/>
        <v>44604</v>
      </c>
      <c r="B83" s="5">
        <f>(550+585+530+540+520+540)/6</f>
        <v>544.16666666666663</v>
      </c>
      <c r="C83" s="4"/>
      <c r="D83" s="58"/>
      <c r="E83" s="48"/>
    </row>
    <row r="84" spans="1:5" x14ac:dyDescent="0.2">
      <c r="A84" s="26">
        <f t="shared" si="2"/>
        <v>44611</v>
      </c>
      <c r="B84" s="5">
        <f>(550+585+530+540+520+540)/6</f>
        <v>544.16666666666663</v>
      </c>
      <c r="C84" s="4"/>
      <c r="D84" s="58"/>
      <c r="E84" s="48"/>
    </row>
    <row r="85" spans="1:5" ht="13.5" thickBot="1" x14ac:dyDescent="0.25">
      <c r="A85" s="27">
        <f t="shared" si="2"/>
        <v>44618</v>
      </c>
      <c r="B85" s="28">
        <f>(550+585+530+540+520+540)/6</f>
        <v>544.16666666666663</v>
      </c>
      <c r="C85" s="28">
        <f>SUM(B82:B85)/COUNTA(B82:B85)</f>
        <v>544.16666666666663</v>
      </c>
      <c r="D85" s="49">
        <f>C85/E$3</f>
        <v>1.527485380116959</v>
      </c>
      <c r="E85" s="50"/>
    </row>
    <row r="86" spans="1:5" x14ac:dyDescent="0.2">
      <c r="A86" s="25">
        <f t="shared" si="2"/>
        <v>44625</v>
      </c>
      <c r="B86" s="5">
        <f>(575+640+540+590+540+590)/6</f>
        <v>579.16666666666663</v>
      </c>
      <c r="C86" s="20"/>
      <c r="D86" s="57"/>
      <c r="E86" s="52"/>
    </row>
    <row r="87" spans="1:5" x14ac:dyDescent="0.2">
      <c r="A87" s="26">
        <f t="shared" si="2"/>
        <v>44632</v>
      </c>
      <c r="B87" s="5">
        <f>(575+675+540+590+570+590)/6</f>
        <v>590</v>
      </c>
      <c r="C87" s="4"/>
      <c r="D87" s="58"/>
      <c r="E87" s="48"/>
    </row>
    <row r="88" spans="1:5" x14ac:dyDescent="0.2">
      <c r="A88" s="26">
        <f t="shared" si="2"/>
        <v>44639</v>
      </c>
      <c r="B88" s="5">
        <f>(620+675+580+590+580+630)/6</f>
        <v>612.5</v>
      </c>
      <c r="C88" s="4"/>
      <c r="D88" s="58"/>
      <c r="E88" s="48"/>
    </row>
    <row r="89" spans="1:5" ht="13.5" thickBot="1" x14ac:dyDescent="0.25">
      <c r="A89" s="27">
        <f>A88+7</f>
        <v>44646</v>
      </c>
      <c r="B89" s="28">
        <f>(620+675+580+590+580+630)/6</f>
        <v>612.5</v>
      </c>
      <c r="C89" s="28">
        <f>SUM(B86:B89)/COUNTA(B86:B89)</f>
        <v>598.54166666666663</v>
      </c>
      <c r="D89" s="49">
        <f>C89/E$3</f>
        <v>1.6801169590643275</v>
      </c>
      <c r="E89" s="50"/>
    </row>
    <row r="90" spans="1:5" x14ac:dyDescent="0.2">
      <c r="A90" s="11">
        <f t="shared" ref="A90:A94" si="4">A89+7</f>
        <v>44653</v>
      </c>
      <c r="B90" s="5">
        <f>(625+690+580+670+580+670)/6</f>
        <v>635.83333333333337</v>
      </c>
      <c r="C90" s="38"/>
      <c r="D90" s="51"/>
      <c r="E90" s="52"/>
    </row>
    <row r="91" spans="1:5" x14ac:dyDescent="0.2">
      <c r="A91" s="2">
        <f t="shared" si="4"/>
        <v>44660</v>
      </c>
      <c r="B91" s="29">
        <f>(625+690+650+670+660+670)/6</f>
        <v>660.83333333333337</v>
      </c>
      <c r="C91" s="4"/>
      <c r="D91" s="55"/>
      <c r="E91" s="56"/>
    </row>
    <row r="92" spans="1:5" x14ac:dyDescent="0.2">
      <c r="A92" s="2">
        <f t="shared" si="4"/>
        <v>44667</v>
      </c>
      <c r="B92" s="29">
        <f>(625+700+650+670+660+670)/6</f>
        <v>662.5</v>
      </c>
      <c r="C92" s="4"/>
      <c r="D92" s="55"/>
      <c r="E92" s="56"/>
    </row>
    <row r="93" spans="1:5" x14ac:dyDescent="0.2">
      <c r="A93" s="2">
        <f t="shared" si="4"/>
        <v>44674</v>
      </c>
      <c r="B93" s="29">
        <f>(640+700+650+670+660+670)/6</f>
        <v>665</v>
      </c>
      <c r="C93" s="4"/>
      <c r="D93" s="55"/>
      <c r="E93" s="56"/>
    </row>
    <row r="94" spans="1:5" ht="13.5" thickBot="1" x14ac:dyDescent="0.25">
      <c r="A94" s="27">
        <f t="shared" si="4"/>
        <v>44681</v>
      </c>
      <c r="B94" s="28">
        <f>(640+725+650+670+660+670)/6</f>
        <v>669.16666666666663</v>
      </c>
      <c r="C94" s="28">
        <f>SUM(B91:B94)/COUNTA(B91:B94)</f>
        <v>664.375</v>
      </c>
      <c r="D94" s="49">
        <f>C94/E$3</f>
        <v>1.8649122807017544</v>
      </c>
      <c r="E94" s="50"/>
    </row>
    <row r="95" spans="1:5" x14ac:dyDescent="0.2">
      <c r="A95" s="25">
        <v>44688</v>
      </c>
      <c r="B95" s="5">
        <f>(670+750+650+675+650+670)/6</f>
        <v>677.5</v>
      </c>
      <c r="C95" s="20"/>
      <c r="D95" s="57"/>
      <c r="E95" s="52"/>
    </row>
    <row r="96" spans="1:5" x14ac:dyDescent="0.2">
      <c r="A96" s="26">
        <v>44695</v>
      </c>
      <c r="B96" s="5">
        <f>(670+750+650+670+650+670)/6</f>
        <v>676.66666666666663</v>
      </c>
      <c r="C96" s="4"/>
      <c r="D96" s="58"/>
      <c r="E96" s="48"/>
    </row>
    <row r="97" spans="1:5" x14ac:dyDescent="0.2">
      <c r="A97" s="26">
        <v>44702</v>
      </c>
      <c r="B97" s="5">
        <f>(670+750+650+670+650+670)/6</f>
        <v>676.66666666666663</v>
      </c>
      <c r="C97" s="4"/>
      <c r="D97" s="58"/>
      <c r="E97" s="48"/>
    </row>
    <row r="98" spans="1:5" ht="13.5" thickBot="1" x14ac:dyDescent="0.25">
      <c r="A98" s="27">
        <v>44709</v>
      </c>
      <c r="B98" s="28">
        <f>(670+750+650+670+650+670)/6</f>
        <v>676.66666666666663</v>
      </c>
      <c r="C98" s="28">
        <f>SUM(B95:B98)/COUNTA(B95:B98)</f>
        <v>676.87499999999989</v>
      </c>
      <c r="D98" s="49">
        <f>C98/E$3</f>
        <v>1.8999999999999997</v>
      </c>
      <c r="E98" s="50"/>
    </row>
    <row r="99" spans="1:5" x14ac:dyDescent="0.2">
      <c r="A99" s="25">
        <v>44716</v>
      </c>
      <c r="B99" s="5">
        <f>(670+750+650+690+650+700)/6</f>
        <v>685</v>
      </c>
      <c r="C99" s="20"/>
      <c r="D99" s="57"/>
      <c r="E99" s="52"/>
    </row>
    <row r="100" spans="1:5" x14ac:dyDescent="0.2">
      <c r="A100" s="26">
        <v>44723</v>
      </c>
      <c r="B100" s="5">
        <f>(690+775+680+690+680+700)/6</f>
        <v>702.5</v>
      </c>
      <c r="C100" s="4"/>
      <c r="D100" s="58"/>
      <c r="E100" s="48"/>
    </row>
    <row r="101" spans="1:5" x14ac:dyDescent="0.2">
      <c r="A101" s="26">
        <v>44730</v>
      </c>
      <c r="B101" s="5">
        <f>(690+775+680+690+680+700)/6</f>
        <v>702.5</v>
      </c>
      <c r="C101" s="4"/>
      <c r="D101" s="58"/>
      <c r="E101" s="48"/>
    </row>
    <row r="102" spans="1:5" ht="13.5" thickBot="1" x14ac:dyDescent="0.25">
      <c r="A102" s="27">
        <v>44737</v>
      </c>
      <c r="B102" s="28">
        <f>(690+775+680+690+680+700)/6</f>
        <v>702.5</v>
      </c>
      <c r="C102" s="28">
        <f>SUM(B99:B102)/COUNTA(B99:B102)</f>
        <v>698.125</v>
      </c>
      <c r="D102" s="49">
        <f>C102/E$3</f>
        <v>1.9596491228070176</v>
      </c>
      <c r="E102" s="50"/>
    </row>
    <row r="103" spans="1:5" x14ac:dyDescent="0.2">
      <c r="A103" s="11">
        <v>44744</v>
      </c>
      <c r="B103" s="5">
        <f>(700+775+680+725+680+725)/6</f>
        <v>714.16666666666663</v>
      </c>
      <c r="C103" s="20"/>
      <c r="D103" s="51"/>
      <c r="E103" s="52"/>
    </row>
    <row r="104" spans="1:5" x14ac:dyDescent="0.2">
      <c r="A104" s="2">
        <v>44751</v>
      </c>
      <c r="B104" s="5">
        <f>(715+775+715+725+715+730)/6</f>
        <v>729.16666666666663</v>
      </c>
      <c r="C104" s="4"/>
      <c r="D104" s="55"/>
      <c r="E104" s="56"/>
    </row>
    <row r="105" spans="1:5" x14ac:dyDescent="0.2">
      <c r="A105" s="2">
        <v>44758</v>
      </c>
      <c r="B105" s="5">
        <f>(715+775+715+725+715+730)/6</f>
        <v>729.16666666666663</v>
      </c>
      <c r="C105" s="4"/>
      <c r="D105" s="55"/>
      <c r="E105" s="56"/>
    </row>
    <row r="106" spans="1:5" x14ac:dyDescent="0.2">
      <c r="A106" s="2">
        <v>44765</v>
      </c>
      <c r="B106" s="5">
        <f>(715+800+715+725+715+730)/6</f>
        <v>733.33333333333337</v>
      </c>
      <c r="C106" s="4"/>
      <c r="D106" s="55"/>
      <c r="E106" s="56"/>
    </row>
    <row r="107" spans="1:5" ht="13.5" thickBot="1" x14ac:dyDescent="0.25">
      <c r="A107" s="12">
        <v>44772</v>
      </c>
      <c r="B107" s="28">
        <f>(715+800+715+725+715+730)/6</f>
        <v>733.33333333333337</v>
      </c>
      <c r="C107" s="28">
        <f>SUM(B104:B107)/COUNTA(B104:B107)</f>
        <v>731.25</v>
      </c>
      <c r="D107" s="49">
        <f>C107/E$3</f>
        <v>2.0526315789473686</v>
      </c>
      <c r="E107" s="50"/>
    </row>
    <row r="108" spans="1:5" x14ac:dyDescent="0.2">
      <c r="A108" s="25">
        <v>44779</v>
      </c>
      <c r="B108" s="5">
        <f>(715+800+730+750+715+730)/6</f>
        <v>740</v>
      </c>
      <c r="C108" s="20"/>
      <c r="D108" s="57"/>
      <c r="E108" s="52"/>
    </row>
    <row r="109" spans="1:5" x14ac:dyDescent="0.2">
      <c r="A109" s="26">
        <v>44786</v>
      </c>
      <c r="B109" s="5">
        <f>(715+800+730+770+680+730)/6</f>
        <v>737.5</v>
      </c>
      <c r="C109" s="4"/>
      <c r="D109" s="58"/>
      <c r="E109" s="48"/>
    </row>
    <row r="110" spans="1:5" x14ac:dyDescent="0.2">
      <c r="A110" s="26">
        <v>44793</v>
      </c>
      <c r="B110" s="5">
        <f>(690+800+730+770+680+730)/6</f>
        <v>733.33333333333337</v>
      </c>
      <c r="C110" s="4"/>
      <c r="D110" s="58"/>
      <c r="E110" s="48"/>
    </row>
    <row r="111" spans="1:5" ht="13.5" thickBot="1" x14ac:dyDescent="0.25">
      <c r="A111" s="27">
        <v>44800</v>
      </c>
      <c r="B111" s="28">
        <f>(690+800+730+770+680+730)/6</f>
        <v>733.33333333333337</v>
      </c>
      <c r="C111" s="28">
        <f>SUM(B108:B111)/COUNTA(B108:B111)</f>
        <v>736.04166666666674</v>
      </c>
      <c r="D111" s="49">
        <f>C111/E$3</f>
        <v>2.0660818713450295</v>
      </c>
      <c r="E111" s="50"/>
    </row>
    <row r="112" spans="1:5" x14ac:dyDescent="0.2">
      <c r="A112" s="25">
        <v>44807</v>
      </c>
      <c r="B112" s="5">
        <f>(690+780+730+770+680+730)/6</f>
        <v>730</v>
      </c>
      <c r="C112" s="20"/>
      <c r="D112" s="57"/>
      <c r="E112" s="52"/>
    </row>
    <row r="113" spans="1:11" x14ac:dyDescent="0.2">
      <c r="A113" s="26">
        <v>44814</v>
      </c>
      <c r="B113" s="5">
        <f>(690+780+715+730+650+730)/6</f>
        <v>715.83333333333337</v>
      </c>
      <c r="C113" s="4"/>
      <c r="D113" s="58"/>
      <c r="E113" s="48"/>
    </row>
    <row r="114" spans="1:11" x14ac:dyDescent="0.2">
      <c r="A114" s="26">
        <v>44821</v>
      </c>
      <c r="B114" s="5">
        <f>(670+775+715+730+650+730)/6</f>
        <v>711.66666666666663</v>
      </c>
      <c r="C114" s="4"/>
      <c r="D114" s="58"/>
      <c r="E114" s="48"/>
    </row>
    <row r="115" spans="1:11" ht="13.5" thickBot="1" x14ac:dyDescent="0.25">
      <c r="A115" s="27">
        <v>44828</v>
      </c>
      <c r="B115" s="28">
        <f>(670+775+715+730+650+730)/6</f>
        <v>711.66666666666663</v>
      </c>
      <c r="C115" s="28">
        <f>SUM(B112:B115)/COUNTA(B112:B115)</f>
        <v>717.29166666666663</v>
      </c>
      <c r="D115" s="49">
        <f>C115/E$3</f>
        <v>2.0134502923976605</v>
      </c>
      <c r="E115" s="50"/>
    </row>
    <row r="116" spans="1:11" x14ac:dyDescent="0.2">
      <c r="A116" s="11">
        <v>44835</v>
      </c>
      <c r="B116" s="5">
        <f>(670+775+715+730+650+730)/6</f>
        <v>711.66666666666663</v>
      </c>
      <c r="C116" s="20"/>
      <c r="D116" s="51"/>
      <c r="E116" s="52"/>
    </row>
    <row r="117" spans="1:11" x14ac:dyDescent="0.2">
      <c r="A117" s="2">
        <v>44842</v>
      </c>
      <c r="B117" s="5">
        <f>(670+750+700+730+610+730)/6</f>
        <v>698.33333333333337</v>
      </c>
      <c r="C117" s="4"/>
      <c r="D117" s="55"/>
      <c r="E117" s="56"/>
    </row>
    <row r="118" spans="1:11" x14ac:dyDescent="0.2">
      <c r="A118" s="2">
        <v>44849</v>
      </c>
      <c r="B118" s="5">
        <f>(670+750+675+700+610+675)/6</f>
        <v>680</v>
      </c>
      <c r="C118" s="4"/>
      <c r="D118" s="55"/>
      <c r="E118" s="56"/>
    </row>
    <row r="119" spans="1:11" x14ac:dyDescent="0.2">
      <c r="A119" s="2">
        <v>44856</v>
      </c>
      <c r="B119" s="5">
        <f>(665+725+650+700+610+675)/6</f>
        <v>670.83333333333337</v>
      </c>
      <c r="C119" s="4"/>
      <c r="D119" s="55"/>
      <c r="E119" s="56"/>
    </row>
    <row r="120" spans="1:11" ht="13.5" thickBot="1" x14ac:dyDescent="0.25">
      <c r="A120" s="12">
        <v>44863</v>
      </c>
      <c r="B120" s="28">
        <f>(665+725+625+650+600+625)/6</f>
        <v>648.33333333333337</v>
      </c>
      <c r="C120" s="28">
        <f>SUM(B117:B120)/COUNTA(B117:B120)</f>
        <v>674.37500000000011</v>
      </c>
      <c r="D120" s="49">
        <f>C120/E$3</f>
        <v>1.8929824561403512</v>
      </c>
      <c r="E120" s="50"/>
    </row>
    <row r="121" spans="1:11" x14ac:dyDescent="0.2">
      <c r="A121" s="25">
        <v>44870</v>
      </c>
      <c r="B121" s="5">
        <f>(640+725+610+630+580+635)/6</f>
        <v>636.66666666666663</v>
      </c>
      <c r="C121" s="20"/>
      <c r="D121" s="57"/>
      <c r="E121" s="52"/>
    </row>
    <row r="122" spans="1:11" x14ac:dyDescent="0.2">
      <c r="A122" s="26">
        <v>44877</v>
      </c>
      <c r="B122" s="5">
        <f>(640+725+610+630+580+635)/6</f>
        <v>636.66666666666663</v>
      </c>
      <c r="C122" s="4"/>
      <c r="D122" s="58"/>
      <c r="E122" s="48"/>
    </row>
    <row r="123" spans="1:11" x14ac:dyDescent="0.2">
      <c r="A123" s="26">
        <v>44884</v>
      </c>
      <c r="B123" s="5">
        <f>(590+725+610+630+580+635)/6</f>
        <v>628.33333333333337</v>
      </c>
      <c r="C123" s="4"/>
      <c r="D123" s="58"/>
      <c r="E123" s="48"/>
    </row>
    <row r="124" spans="1:11" ht="13.5" thickBot="1" x14ac:dyDescent="0.25">
      <c r="A124" s="27">
        <v>44891</v>
      </c>
      <c r="B124" s="28">
        <f>(590+725+610+630+580+635)/6</f>
        <v>628.33333333333337</v>
      </c>
      <c r="C124" s="28">
        <f>SUM(B121:B124)/COUNTA(B121:B124)</f>
        <v>632.5</v>
      </c>
      <c r="D124" s="49">
        <f>C124/E$3</f>
        <v>1.775438596491228</v>
      </c>
      <c r="E124" s="50"/>
    </row>
    <row r="125" spans="1:11" x14ac:dyDescent="0.2">
      <c r="A125" s="11">
        <v>44898</v>
      </c>
      <c r="B125" s="5">
        <f>(540+725+610+630+550+625)/6</f>
        <v>613.33333333333337</v>
      </c>
      <c r="C125" s="20"/>
      <c r="D125" s="51"/>
      <c r="E125" s="52"/>
      <c r="K125" t="s">
        <v>6</v>
      </c>
    </row>
    <row r="126" spans="1:11" x14ac:dyDescent="0.2">
      <c r="A126" s="2">
        <v>44905</v>
      </c>
      <c r="B126" s="5">
        <f>(540+700+575+600+550+625)/6</f>
        <v>598.33333333333337</v>
      </c>
      <c r="C126" s="4"/>
      <c r="D126" s="55"/>
      <c r="E126" s="56"/>
    </row>
    <row r="127" spans="1:11" x14ac:dyDescent="0.2">
      <c r="A127" s="2">
        <v>44912</v>
      </c>
      <c r="B127" s="5">
        <f>(540+700+575+600+550+625)/6</f>
        <v>598.33333333333337</v>
      </c>
      <c r="C127" s="4"/>
      <c r="D127" s="55"/>
      <c r="E127" s="56"/>
    </row>
    <row r="128" spans="1:11" x14ac:dyDescent="0.2">
      <c r="A128" s="2">
        <v>44919</v>
      </c>
      <c r="B128" s="5">
        <f t="shared" ref="B128:B129" si="5">(540+700+575+600+550+625)/6</f>
        <v>598.33333333333337</v>
      </c>
      <c r="C128" s="4"/>
      <c r="D128" s="55"/>
      <c r="E128" s="56"/>
    </row>
    <row r="129" spans="1:5" ht="13.5" thickBot="1" x14ac:dyDescent="0.25">
      <c r="A129" s="12">
        <v>44926</v>
      </c>
      <c r="B129" s="28">
        <f t="shared" si="5"/>
        <v>598.33333333333337</v>
      </c>
      <c r="C129" s="28">
        <f>SUM(B126:B129)/COUNTA(B126:B129)</f>
        <v>598.33333333333337</v>
      </c>
      <c r="D129" s="49">
        <f>C129/E$3</f>
        <v>1.6795321637426901</v>
      </c>
      <c r="E129" s="50"/>
    </row>
    <row r="130" spans="1:5" x14ac:dyDescent="0.2">
      <c r="A130" s="25">
        <v>44933</v>
      </c>
      <c r="B130" s="5">
        <f>(540+675+560+575+550+625)/6</f>
        <v>587.5</v>
      </c>
      <c r="C130" s="20"/>
      <c r="D130" s="57"/>
      <c r="E130" s="52"/>
    </row>
    <row r="131" spans="1:5" x14ac:dyDescent="0.2">
      <c r="A131" s="26">
        <v>44940</v>
      </c>
      <c r="B131" s="5">
        <f>(540+675+560+575+520+560)/6</f>
        <v>571.66666666666663</v>
      </c>
      <c r="C131" s="4"/>
      <c r="D131" s="58"/>
      <c r="E131" s="48"/>
    </row>
    <row r="132" spans="1:5" x14ac:dyDescent="0.2">
      <c r="A132" s="26">
        <v>44947</v>
      </c>
      <c r="B132" s="5">
        <f>(540+675+560+575+520+560)/6</f>
        <v>571.66666666666663</v>
      </c>
      <c r="C132" s="4"/>
      <c r="D132" s="58"/>
      <c r="E132" s="48"/>
    </row>
    <row r="133" spans="1:5" ht="13.5" thickBot="1" x14ac:dyDescent="0.25">
      <c r="A133" s="27">
        <v>44954</v>
      </c>
      <c r="B133" s="28">
        <f>(540+675+560+575+520+560)/6</f>
        <v>571.66666666666663</v>
      </c>
      <c r="C133" s="28">
        <f>SUM(B130:B133)/COUNTA(B130:B133)</f>
        <v>575.62499999999989</v>
      </c>
      <c r="D133" s="49">
        <f>C133/E$3</f>
        <v>1.6157894736842102</v>
      </c>
      <c r="E133" s="50"/>
    </row>
    <row r="134" spans="1:5" x14ac:dyDescent="0.2">
      <c r="A134" s="25">
        <v>44961</v>
      </c>
      <c r="B134" s="5">
        <f>(540+650+530+550+520+540)/6</f>
        <v>555</v>
      </c>
      <c r="C134" s="20"/>
      <c r="D134" s="57"/>
      <c r="E134" s="52"/>
    </row>
    <row r="135" spans="1:5" x14ac:dyDescent="0.2">
      <c r="A135" s="26">
        <v>44968</v>
      </c>
      <c r="B135" s="5">
        <f>(540+650+530+550+520+540)/6</f>
        <v>555</v>
      </c>
      <c r="C135" s="4"/>
      <c r="D135" s="58"/>
      <c r="E135" s="48"/>
    </row>
    <row r="136" spans="1:5" x14ac:dyDescent="0.2">
      <c r="A136" s="26">
        <v>44975</v>
      </c>
      <c r="B136" s="5">
        <f>(540+650+530+550+520+540)/6</f>
        <v>555</v>
      </c>
      <c r="C136" s="4"/>
      <c r="D136" s="58"/>
      <c r="E136" s="48"/>
    </row>
    <row r="137" spans="1:5" ht="13.5" thickBot="1" x14ac:dyDescent="0.25">
      <c r="A137" s="27">
        <v>44982</v>
      </c>
      <c r="B137" s="28">
        <f>(540+650+530+550+520+540)/6</f>
        <v>555</v>
      </c>
      <c r="C137" s="28">
        <f>SUM(B134:B137)/COUNTA(B134:B137)</f>
        <v>555</v>
      </c>
      <c r="D137" s="49">
        <f>C137/E$3</f>
        <v>1.5578947368421052</v>
      </c>
      <c r="E137" s="50"/>
    </row>
    <row r="138" spans="1:5" x14ac:dyDescent="0.2">
      <c r="A138" s="25">
        <v>44989</v>
      </c>
      <c r="B138" s="5">
        <f>(540+625+530+550+520+540)/6</f>
        <v>550.83333333333337</v>
      </c>
      <c r="C138" s="20"/>
      <c r="D138" s="51"/>
      <c r="E138" s="52"/>
    </row>
    <row r="139" spans="1:5" x14ac:dyDescent="0.2">
      <c r="A139" s="26">
        <v>44996</v>
      </c>
      <c r="B139" s="5">
        <f>(540+625+530+550+520+540)/6</f>
        <v>550.83333333333337</v>
      </c>
      <c r="C139" s="4"/>
      <c r="D139" s="47"/>
      <c r="E139" s="48"/>
    </row>
    <row r="140" spans="1:5" x14ac:dyDescent="0.2">
      <c r="A140" s="26">
        <v>45003</v>
      </c>
      <c r="B140" s="5">
        <f>(540+625+520+540+520+540)/6</f>
        <v>547.5</v>
      </c>
      <c r="C140" s="4"/>
      <c r="D140" s="47"/>
      <c r="E140" s="48"/>
    </row>
    <row r="141" spans="1:5" ht="13.5" thickBot="1" x14ac:dyDescent="0.25">
      <c r="A141" s="27">
        <v>45010</v>
      </c>
      <c r="B141" s="28">
        <f>(540+625+520+540+520+540)/6</f>
        <v>547.5</v>
      </c>
      <c r="C141" s="28">
        <f>SUM(B138:B141)/COUNTA(B138:B141)</f>
        <v>549.16666666666674</v>
      </c>
      <c r="D141" s="49">
        <f>C141/E$3</f>
        <v>1.5415204678362575</v>
      </c>
      <c r="E141" s="50"/>
    </row>
    <row r="142" spans="1:5" x14ac:dyDescent="0.2">
      <c r="A142" s="39">
        <v>45017</v>
      </c>
      <c r="B142" s="21">
        <f>(540+625+520+540+520+540)/6</f>
        <v>547.5</v>
      </c>
      <c r="C142" s="20"/>
      <c r="D142" s="51"/>
      <c r="E142" s="52"/>
    </row>
    <row r="143" spans="1:5" x14ac:dyDescent="0.2">
      <c r="A143" s="40">
        <v>45024</v>
      </c>
      <c r="B143" s="5">
        <f>(540+600+500+510+480+500)/6</f>
        <v>521.66666666666663</v>
      </c>
      <c r="C143" s="4"/>
      <c r="D143" s="47"/>
      <c r="E143" s="48"/>
    </row>
    <row r="144" spans="1:5" x14ac:dyDescent="0.2">
      <c r="A144" s="40">
        <v>45031</v>
      </c>
      <c r="B144" s="5">
        <f>(540+600+500+510+480+500)/6</f>
        <v>521.66666666666663</v>
      </c>
      <c r="C144" s="4"/>
      <c r="D144" s="47"/>
      <c r="E144" s="48"/>
    </row>
    <row r="145" spans="1:5" x14ac:dyDescent="0.2">
      <c r="A145" s="26">
        <v>45038</v>
      </c>
      <c r="B145" s="5">
        <f>(540+600+500+510+480+500)/6</f>
        <v>521.66666666666663</v>
      </c>
      <c r="C145" s="4"/>
      <c r="D145" s="47"/>
      <c r="E145" s="48"/>
    </row>
    <row r="146" spans="1:5" ht="13.5" thickBot="1" x14ac:dyDescent="0.25">
      <c r="A146" s="27">
        <v>45045</v>
      </c>
      <c r="B146" s="28">
        <f>(540+600+500+510+480+500)/6</f>
        <v>521.66666666666663</v>
      </c>
      <c r="C146" s="28">
        <f>SUM(B143:B146)/COUNT(B143:B146)</f>
        <v>521.66666666666663</v>
      </c>
      <c r="D146" s="49">
        <f>C146/E$3</f>
        <v>1.4643274853801169</v>
      </c>
      <c r="E146" s="50"/>
    </row>
    <row r="147" spans="1:5" x14ac:dyDescent="0.2">
      <c r="A147" s="25">
        <v>45052</v>
      </c>
      <c r="B147" s="5">
        <f>(540+620+480+510+480+530)/6</f>
        <v>526.66666666666663</v>
      </c>
      <c r="C147" s="20"/>
      <c r="D147" s="51"/>
      <c r="E147" s="52"/>
    </row>
    <row r="148" spans="1:5" x14ac:dyDescent="0.2">
      <c r="A148" s="26">
        <v>45059</v>
      </c>
      <c r="B148" s="5">
        <f>(540+620+480+510+480+530)/6</f>
        <v>526.66666666666663</v>
      </c>
      <c r="C148" s="4"/>
      <c r="D148" s="47"/>
      <c r="E148" s="48"/>
    </row>
    <row r="149" spans="1:5" x14ac:dyDescent="0.2">
      <c r="A149" s="26">
        <v>45066</v>
      </c>
      <c r="B149" s="5">
        <f>(540+620+480+510+480+530)/6</f>
        <v>526.66666666666663</v>
      </c>
      <c r="C149" s="4"/>
      <c r="D149" s="47"/>
      <c r="E149" s="48"/>
    </row>
    <row r="150" spans="1:5" ht="13.5" thickBot="1" x14ac:dyDescent="0.25">
      <c r="A150" s="27">
        <v>45073</v>
      </c>
      <c r="B150" s="28">
        <f>(540+620+480+510+480+530)/6</f>
        <v>526.66666666666663</v>
      </c>
      <c r="C150" s="28">
        <f>SUM(B147:B150)/COUNT(B147:B150)</f>
        <v>526.66666666666663</v>
      </c>
      <c r="D150" s="49">
        <f>C150/E$3</f>
        <v>1.478362573099415</v>
      </c>
      <c r="E150" s="50"/>
    </row>
    <row r="151" spans="1:5" x14ac:dyDescent="0.2">
      <c r="A151" s="25">
        <v>45080</v>
      </c>
      <c r="B151" s="5">
        <f>(540+620+480+510+480+500)/6</f>
        <v>521.66666666666663</v>
      </c>
      <c r="C151" s="20"/>
      <c r="D151" s="51"/>
      <c r="E151" s="52"/>
    </row>
    <row r="152" spans="1:5" x14ac:dyDescent="0.2">
      <c r="A152" s="26">
        <v>45087</v>
      </c>
      <c r="B152" s="5">
        <f>(540+620+480+510+480+500)/6</f>
        <v>521.66666666666663</v>
      </c>
      <c r="C152" s="4"/>
      <c r="D152" s="47"/>
      <c r="E152" s="48"/>
    </row>
    <row r="153" spans="1:5" x14ac:dyDescent="0.2">
      <c r="A153" s="26">
        <v>45094</v>
      </c>
      <c r="B153" s="5">
        <f>(540+620+480+510+480+500)/6</f>
        <v>521.66666666666663</v>
      </c>
      <c r="C153" s="4"/>
      <c r="D153" s="47"/>
      <c r="E153" s="48"/>
    </row>
    <row r="154" spans="1:5" ht="13.5" thickBot="1" x14ac:dyDescent="0.25">
      <c r="A154" s="27">
        <v>45101</v>
      </c>
      <c r="B154" s="28">
        <f>(540+620+480+510+480+500)/6</f>
        <v>521.66666666666663</v>
      </c>
      <c r="C154" s="28">
        <f>SUM(B151:B154)/COUNT(B151:B154)</f>
        <v>521.66666666666663</v>
      </c>
      <c r="D154" s="49">
        <f>C154/E$3</f>
        <v>1.4643274853801169</v>
      </c>
      <c r="E154" s="50"/>
    </row>
    <row r="155" spans="1:5" x14ac:dyDescent="0.2">
      <c r="A155" s="39">
        <v>45108</v>
      </c>
      <c r="B155" s="21">
        <f>(540+620+480+510+480+500)/6</f>
        <v>521.66666666666663</v>
      </c>
      <c r="C155" s="20"/>
      <c r="D155" s="51"/>
      <c r="E155" s="52"/>
    </row>
    <row r="156" spans="1:5" x14ac:dyDescent="0.2">
      <c r="A156" s="40">
        <v>45115</v>
      </c>
      <c r="B156" s="5">
        <f>(560+620+480+510+480+500)/6</f>
        <v>525</v>
      </c>
      <c r="C156" s="4"/>
      <c r="D156" s="47"/>
      <c r="E156" s="48"/>
    </row>
    <row r="157" spans="1:5" x14ac:dyDescent="0.2">
      <c r="A157" s="40">
        <v>45122</v>
      </c>
      <c r="B157" s="5">
        <f>(560+620+480+510+480+500)/6</f>
        <v>525</v>
      </c>
      <c r="C157" s="4"/>
      <c r="D157" s="47"/>
      <c r="E157" s="48"/>
    </row>
    <row r="158" spans="1:5" x14ac:dyDescent="0.2">
      <c r="A158" s="26">
        <v>45129</v>
      </c>
      <c r="B158" s="5">
        <f>(560+620+480+510+480+500)/6</f>
        <v>525</v>
      </c>
      <c r="C158" s="4"/>
      <c r="D158" s="47"/>
      <c r="E158" s="48"/>
    </row>
    <row r="159" spans="1:5" ht="13.5" thickBot="1" x14ac:dyDescent="0.25">
      <c r="A159" s="27">
        <v>45136</v>
      </c>
      <c r="B159" s="28">
        <f>(560+620+480+510+480+500)/6</f>
        <v>525</v>
      </c>
      <c r="C159" s="28">
        <f>SUM(B156:B159)/COUNT(B156:B159)</f>
        <v>525</v>
      </c>
      <c r="D159" s="49">
        <f>C159/E$3</f>
        <v>1.4736842105263157</v>
      </c>
      <c r="E159" s="50"/>
    </row>
    <row r="160" spans="1:5" x14ac:dyDescent="0.2">
      <c r="A160" s="25">
        <v>45143</v>
      </c>
      <c r="B160" s="5">
        <f>(575+620+480+510+480+515)/6</f>
        <v>530</v>
      </c>
      <c r="C160" s="20"/>
      <c r="D160" s="51"/>
      <c r="E160" s="52"/>
    </row>
    <row r="161" spans="1:5" x14ac:dyDescent="0.2">
      <c r="A161" s="26">
        <v>45150</v>
      </c>
      <c r="B161" s="5">
        <f>(575+620+500+510+495+515)/6</f>
        <v>535.83333333333337</v>
      </c>
      <c r="C161" s="4"/>
      <c r="D161" s="47"/>
      <c r="E161" s="48"/>
    </row>
    <row r="162" spans="1:5" x14ac:dyDescent="0.2">
      <c r="A162" s="26">
        <v>45157</v>
      </c>
      <c r="B162" s="5">
        <f>(575+620+500+510+495+515)/6</f>
        <v>535.83333333333337</v>
      </c>
      <c r="C162" s="4"/>
      <c r="D162" s="47"/>
      <c r="E162" s="48"/>
    </row>
    <row r="163" spans="1:5" ht="13.5" thickBot="1" x14ac:dyDescent="0.25">
      <c r="A163" s="27">
        <v>45164</v>
      </c>
      <c r="B163" s="28">
        <f>(575+620+500+510+495+515)/6</f>
        <v>535.83333333333337</v>
      </c>
      <c r="C163" s="28">
        <f>SUM(B160:B163)/COUNT(B160:B163)</f>
        <v>534.37500000000011</v>
      </c>
      <c r="D163" s="49">
        <f>C163/E$3</f>
        <v>1.5000000000000002</v>
      </c>
      <c r="E163" s="50"/>
    </row>
    <row r="164" spans="1:5" x14ac:dyDescent="0.2">
      <c r="A164" s="39">
        <v>45171</v>
      </c>
      <c r="B164" s="21">
        <f>(575+620+510+520+505+525)/6</f>
        <v>542.5</v>
      </c>
      <c r="C164" s="20"/>
      <c r="D164" s="51"/>
      <c r="E164" s="52"/>
    </row>
    <row r="165" spans="1:5" x14ac:dyDescent="0.2">
      <c r="A165" s="40">
        <v>45178</v>
      </c>
      <c r="B165" s="5">
        <f>(575+620+510+520+505+525)/6</f>
        <v>542.5</v>
      </c>
      <c r="C165" s="4"/>
      <c r="D165" s="47"/>
      <c r="E165" s="48"/>
    </row>
    <row r="166" spans="1:5" x14ac:dyDescent="0.2">
      <c r="A166" s="40">
        <v>45185</v>
      </c>
      <c r="B166" s="5">
        <f>(575+620+510+520+505+525)/6</f>
        <v>542.5</v>
      </c>
      <c r="C166" s="4"/>
      <c r="D166" s="47"/>
      <c r="E166" s="48"/>
    </row>
    <row r="167" spans="1:5" x14ac:dyDescent="0.2">
      <c r="A167" s="26">
        <v>45192</v>
      </c>
      <c r="B167" s="5">
        <f>(575+620+510+520+505+525)/6</f>
        <v>542.5</v>
      </c>
      <c r="C167" s="4"/>
      <c r="D167" s="47"/>
      <c r="E167" s="48"/>
    </row>
    <row r="168" spans="1:5" ht="13.5" thickBot="1" x14ac:dyDescent="0.25">
      <c r="A168" s="27">
        <v>45199</v>
      </c>
      <c r="B168" s="43">
        <f>(575+620+510+520+505+525)/6</f>
        <v>542.5</v>
      </c>
      <c r="C168" s="28">
        <f>SUM(B165:B168)/COUNT(B165:B168)</f>
        <v>542.5</v>
      </c>
      <c r="D168" s="49">
        <f>C168/E$3</f>
        <v>1.5228070175438597</v>
      </c>
      <c r="E168" s="50"/>
    </row>
    <row r="169" spans="1:5" x14ac:dyDescent="0.2">
      <c r="A169" s="44">
        <v>45206</v>
      </c>
      <c r="B169" s="5">
        <f>(515+625+510+550+520+550)/6</f>
        <v>545</v>
      </c>
      <c r="C169" s="42"/>
      <c r="D169" s="53"/>
      <c r="E169" s="54"/>
    </row>
    <row r="170" spans="1:5" x14ac:dyDescent="0.2">
      <c r="A170" s="45">
        <v>45213</v>
      </c>
      <c r="B170" s="5">
        <f>(515+625+510+550+520+550)/6</f>
        <v>545</v>
      </c>
      <c r="C170" s="41"/>
      <c r="D170" s="85"/>
      <c r="E170" s="66"/>
    </row>
    <row r="171" spans="1:5" x14ac:dyDescent="0.2">
      <c r="A171" s="45">
        <v>45220</v>
      </c>
      <c r="B171" s="5">
        <f>(515+625+510+550+520+550)/6</f>
        <v>545</v>
      </c>
      <c r="C171" s="41"/>
      <c r="D171" s="85"/>
      <c r="E171" s="66"/>
    </row>
    <row r="172" spans="1:5" ht="13.5" thickBot="1" x14ac:dyDescent="0.25">
      <c r="A172" s="46">
        <v>45227</v>
      </c>
      <c r="B172" s="43">
        <f>(515+625+510+550+520+550)/6</f>
        <v>545</v>
      </c>
      <c r="C172" s="43">
        <f>SUM(B169:B172)/COUNT(B169:B172)</f>
        <v>545</v>
      </c>
      <c r="D172" s="67">
        <f>C172/E$3</f>
        <v>1.5298245614035089</v>
      </c>
      <c r="E172" s="68"/>
    </row>
    <row r="173" spans="1:5" x14ac:dyDescent="0.2">
      <c r="A173" s="25">
        <v>45234</v>
      </c>
      <c r="B173" s="5">
        <f>(515+600+510+550+520+550)/6</f>
        <v>540.83333333333337</v>
      </c>
      <c r="C173" s="42"/>
      <c r="D173" s="51"/>
      <c r="E173" s="52"/>
    </row>
    <row r="174" spans="1:5" x14ac:dyDescent="0.2">
      <c r="A174" s="26">
        <v>45241</v>
      </c>
      <c r="B174" s="5">
        <f>(515+600+510+550+520+550)/6</f>
        <v>540.83333333333337</v>
      </c>
      <c r="C174" s="41"/>
      <c r="D174" s="47"/>
      <c r="E174" s="48"/>
    </row>
    <row r="175" spans="1:5" x14ac:dyDescent="0.2">
      <c r="A175" s="26">
        <v>45248</v>
      </c>
      <c r="B175" s="5">
        <f>(515+600+510+550+520+550)/6</f>
        <v>540.83333333333337</v>
      </c>
      <c r="C175" s="41"/>
      <c r="D175" s="47"/>
      <c r="E175" s="48"/>
    </row>
    <row r="176" spans="1:5" ht="13.5" thickBot="1" x14ac:dyDescent="0.25">
      <c r="A176" s="27">
        <v>45255</v>
      </c>
      <c r="B176" s="43">
        <f>(515+600+510+550+520+550)/6</f>
        <v>540.83333333333337</v>
      </c>
      <c r="C176" s="43">
        <f>SUM(B173:B176)/COUNT(B173:B176)</f>
        <v>540.83333333333337</v>
      </c>
      <c r="D176" s="49">
        <f>C176/E$3</f>
        <v>1.5181286549707604</v>
      </c>
      <c r="E176" s="50"/>
    </row>
    <row r="177" spans="1:5" x14ac:dyDescent="0.2">
      <c r="A177" s="44">
        <v>45262</v>
      </c>
      <c r="B177" s="5">
        <f>(500+600+510+550+520+550)/6</f>
        <v>538.33333333333337</v>
      </c>
      <c r="C177" s="42"/>
      <c r="D177" s="51"/>
      <c r="E177" s="52"/>
    </row>
    <row r="178" spans="1:5" x14ac:dyDescent="0.2">
      <c r="A178" s="45">
        <v>45269</v>
      </c>
      <c r="B178" s="5">
        <f>(500+600+510+550+520+550)/6</f>
        <v>538.33333333333337</v>
      </c>
      <c r="C178" s="41"/>
      <c r="D178" s="47"/>
      <c r="E178" s="48"/>
    </row>
    <row r="179" spans="1:5" x14ac:dyDescent="0.2">
      <c r="A179" s="45">
        <v>45276</v>
      </c>
      <c r="B179" s="5">
        <f>(500+600+510+550+520+550)/6</f>
        <v>538.33333333333337</v>
      </c>
      <c r="C179" s="41"/>
      <c r="D179" s="47"/>
      <c r="E179" s="48"/>
    </row>
    <row r="180" spans="1:5" x14ac:dyDescent="0.2">
      <c r="A180" s="26">
        <v>45283</v>
      </c>
      <c r="B180" s="5">
        <f>(500+600+510+550+520+550)/6</f>
        <v>538.33333333333337</v>
      </c>
      <c r="C180" s="41"/>
      <c r="D180" s="47"/>
      <c r="E180" s="48"/>
    </row>
    <row r="181" spans="1:5" ht="13.5" thickBot="1" x14ac:dyDescent="0.25">
      <c r="A181" s="27">
        <v>45290</v>
      </c>
      <c r="B181" s="43">
        <f>(500+600+510+550+520+550)/6</f>
        <v>538.33333333333337</v>
      </c>
      <c r="C181" s="43">
        <f>SUM(B178:B181)/COUNT(B178:B181)</f>
        <v>538.33333333333337</v>
      </c>
      <c r="D181" s="49">
        <f>C181/E$3</f>
        <v>1.5111111111111113</v>
      </c>
      <c r="E181" s="50"/>
    </row>
    <row r="182" spans="1:5" x14ac:dyDescent="0.2">
      <c r="A182" s="25">
        <v>45297</v>
      </c>
      <c r="B182" s="5">
        <f>(510+575+500+525+450+525)/6</f>
        <v>514.16666666666663</v>
      </c>
      <c r="C182" s="42"/>
      <c r="D182" s="51"/>
      <c r="E182" s="52"/>
    </row>
    <row r="183" spans="1:5" x14ac:dyDescent="0.2">
      <c r="A183" s="26">
        <v>45304</v>
      </c>
      <c r="B183" s="5">
        <f>(510+575+500+525+450+525)/6</f>
        <v>514.16666666666663</v>
      </c>
      <c r="C183" s="41"/>
      <c r="D183" s="47"/>
      <c r="E183" s="48"/>
    </row>
    <row r="184" spans="1:5" x14ac:dyDescent="0.2">
      <c r="A184" s="26">
        <v>45311</v>
      </c>
      <c r="B184" s="5">
        <f>(510+575+500+525+450+525)/6</f>
        <v>514.16666666666663</v>
      </c>
      <c r="C184" s="41"/>
      <c r="D184" s="47"/>
      <c r="E184" s="48"/>
    </row>
    <row r="185" spans="1:5" ht="13.5" thickBot="1" x14ac:dyDescent="0.25">
      <c r="A185" s="27">
        <v>45318</v>
      </c>
      <c r="B185" s="43">
        <f>(510+575+500+525+450+525)/6</f>
        <v>514.16666666666663</v>
      </c>
      <c r="C185" s="43">
        <f>SUM(B182:B185)/COUNT(B182:B185)</f>
        <v>514.16666666666663</v>
      </c>
      <c r="D185" s="49">
        <f>C185/E$3</f>
        <v>1.4432748538011695</v>
      </c>
      <c r="E185" s="50"/>
    </row>
    <row r="186" spans="1:5" x14ac:dyDescent="0.2">
      <c r="A186" s="44">
        <v>45325</v>
      </c>
      <c r="B186" s="5">
        <f>(510+575+480+500+450+500)/6</f>
        <v>502.5</v>
      </c>
      <c r="C186" s="42"/>
      <c r="D186" s="51"/>
      <c r="E186" s="52"/>
    </row>
    <row r="187" spans="1:5" x14ac:dyDescent="0.2">
      <c r="A187" s="45">
        <v>45332</v>
      </c>
      <c r="B187" s="5">
        <f>(510+575+480+500+450+500)/6</f>
        <v>502.5</v>
      </c>
      <c r="C187" s="41"/>
      <c r="D187" s="47"/>
      <c r="E187" s="48"/>
    </row>
    <row r="188" spans="1:5" x14ac:dyDescent="0.2">
      <c r="A188" s="45">
        <v>45339</v>
      </c>
      <c r="B188" s="5">
        <f>(510+575+480+500+450+500)/6</f>
        <v>502.5</v>
      </c>
      <c r="C188" s="41"/>
      <c r="D188" s="47"/>
      <c r="E188" s="48"/>
    </row>
    <row r="189" spans="1:5" ht="13.5" thickBot="1" x14ac:dyDescent="0.25">
      <c r="A189" s="46">
        <v>45346</v>
      </c>
      <c r="B189" s="43"/>
      <c r="C189" s="43">
        <f>SUM(B186:B189)/COUNT(B186:B189)</f>
        <v>502.5</v>
      </c>
      <c r="D189" s="49">
        <f>C189/E$3</f>
        <v>1.4105263157894736</v>
      </c>
      <c r="E189" s="50"/>
    </row>
  </sheetData>
  <mergeCells count="191">
    <mergeCell ref="D186:E186"/>
    <mergeCell ref="D187:E187"/>
    <mergeCell ref="D188:E188"/>
    <mergeCell ref="D189:E189"/>
    <mergeCell ref="D173:E173"/>
    <mergeCell ref="D174:E174"/>
    <mergeCell ref="D175:E175"/>
    <mergeCell ref="D176:E176"/>
    <mergeCell ref="D170:E170"/>
    <mergeCell ref="D171:E171"/>
    <mergeCell ref="D182:E182"/>
    <mergeCell ref="D183:E183"/>
    <mergeCell ref="D184:E184"/>
    <mergeCell ref="D185:E185"/>
    <mergeCell ref="D177:E177"/>
    <mergeCell ref="D178:E178"/>
    <mergeCell ref="D179:E179"/>
    <mergeCell ref="D180:E180"/>
    <mergeCell ref="D181:E181"/>
    <mergeCell ref="D172:E172"/>
    <mergeCell ref="D98:E98"/>
    <mergeCell ref="D110:E110"/>
    <mergeCell ref="D94:E94"/>
    <mergeCell ref="D95:E95"/>
    <mergeCell ref="D96:E96"/>
    <mergeCell ref="D116:E116"/>
    <mergeCell ref="D117:E117"/>
    <mergeCell ref="D118:E118"/>
    <mergeCell ref="D119:E119"/>
    <mergeCell ref="D112:E112"/>
    <mergeCell ref="D113:E113"/>
    <mergeCell ref="D114:E114"/>
    <mergeCell ref="D115:E115"/>
    <mergeCell ref="D102:E102"/>
    <mergeCell ref="D97:E97"/>
    <mergeCell ref="D108:E108"/>
    <mergeCell ref="D109:E109"/>
    <mergeCell ref="D111:E111"/>
    <mergeCell ref="D103:E103"/>
    <mergeCell ref="D99:E99"/>
    <mergeCell ref="D100:E100"/>
    <mergeCell ref="D101:E101"/>
    <mergeCell ref="D74:E74"/>
    <mergeCell ref="D75:E75"/>
    <mergeCell ref="D76:E76"/>
    <mergeCell ref="D77:E77"/>
    <mergeCell ref="D78:E78"/>
    <mergeCell ref="D79:E79"/>
    <mergeCell ref="D80:E80"/>
    <mergeCell ref="D81:E81"/>
    <mergeCell ref="D93:E93"/>
    <mergeCell ref="D92:E92"/>
    <mergeCell ref="D90:E90"/>
    <mergeCell ref="D91:E91"/>
    <mergeCell ref="D82:E82"/>
    <mergeCell ref="D83:E83"/>
    <mergeCell ref="D84:E84"/>
    <mergeCell ref="D85:E85"/>
    <mergeCell ref="D86:E86"/>
    <mergeCell ref="D87:E87"/>
    <mergeCell ref="D88:E88"/>
    <mergeCell ref="D89:E89"/>
    <mergeCell ref="D11:E11"/>
    <mergeCell ref="D37:E37"/>
    <mergeCell ref="A1:E1"/>
    <mergeCell ref="D6:E6"/>
    <mergeCell ref="D7:E7"/>
    <mergeCell ref="A2:A3"/>
    <mergeCell ref="D2:E2"/>
    <mergeCell ref="D4:E4"/>
    <mergeCell ref="D5:E5"/>
    <mergeCell ref="C2:C3"/>
    <mergeCell ref="B2:B3"/>
    <mergeCell ref="D8:E8"/>
    <mergeCell ref="D9:E9"/>
    <mergeCell ref="D12:E12"/>
    <mergeCell ref="D13:E13"/>
    <mergeCell ref="D14:E14"/>
    <mergeCell ref="D10:E10"/>
    <mergeCell ref="D15:E15"/>
    <mergeCell ref="D18:E18"/>
    <mergeCell ref="D19:E19"/>
    <mergeCell ref="D20:E20"/>
    <mergeCell ref="D21:E21"/>
    <mergeCell ref="D16:E16"/>
    <mergeCell ref="D17:E17"/>
    <mergeCell ref="D22:E22"/>
    <mergeCell ref="D23:E23"/>
    <mergeCell ref="D24:E24"/>
    <mergeCell ref="D25:E25"/>
    <mergeCell ref="D33:E33"/>
    <mergeCell ref="D44:E44"/>
    <mergeCell ref="D26:E26"/>
    <mergeCell ref="D27:E27"/>
    <mergeCell ref="D28:E28"/>
    <mergeCell ref="D45:E45"/>
    <mergeCell ref="D46:E46"/>
    <mergeCell ref="D34:E34"/>
    <mergeCell ref="D35:E35"/>
    <mergeCell ref="D36:E36"/>
    <mergeCell ref="D29:E29"/>
    <mergeCell ref="D39:E39"/>
    <mergeCell ref="D40:E40"/>
    <mergeCell ref="D38:E38"/>
    <mergeCell ref="D30:E30"/>
    <mergeCell ref="D31:E31"/>
    <mergeCell ref="D32:E32"/>
    <mergeCell ref="D41:E41"/>
    <mergeCell ref="D42:E42"/>
    <mergeCell ref="D43:E43"/>
    <mergeCell ref="D47:E47"/>
    <mergeCell ref="D48:E48"/>
    <mergeCell ref="D49:E49"/>
    <mergeCell ref="D50:E50"/>
    <mergeCell ref="D54:E54"/>
    <mergeCell ref="D55:E55"/>
    <mergeCell ref="D51:E51"/>
    <mergeCell ref="D52:E52"/>
    <mergeCell ref="D53:E53"/>
    <mergeCell ref="D73:E73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9:E69"/>
    <mergeCell ref="D70:E70"/>
    <mergeCell ref="D65:E65"/>
    <mergeCell ref="D66:E66"/>
    <mergeCell ref="D67:E67"/>
    <mergeCell ref="D68:E68"/>
    <mergeCell ref="D71:E71"/>
    <mergeCell ref="D72:E72"/>
    <mergeCell ref="D125:E125"/>
    <mergeCell ref="D126:E126"/>
    <mergeCell ref="D121:E121"/>
    <mergeCell ref="D122:E122"/>
    <mergeCell ref="D123:E123"/>
    <mergeCell ref="D124:E124"/>
    <mergeCell ref="D120:E120"/>
    <mergeCell ref="D104:E104"/>
    <mergeCell ref="D105:E105"/>
    <mergeCell ref="D106:E106"/>
    <mergeCell ref="D107:E107"/>
    <mergeCell ref="D127:E127"/>
    <mergeCell ref="D128:E128"/>
    <mergeCell ref="D129:E129"/>
    <mergeCell ref="D134:E134"/>
    <mergeCell ref="D135:E135"/>
    <mergeCell ref="D136:E136"/>
    <mergeCell ref="D137:E137"/>
    <mergeCell ref="D130:E130"/>
    <mergeCell ref="D131:E131"/>
    <mergeCell ref="D132:E132"/>
    <mergeCell ref="D133:E133"/>
    <mergeCell ref="D138:E138"/>
    <mergeCell ref="D139:E139"/>
    <mergeCell ref="D140:E140"/>
    <mergeCell ref="D141:E141"/>
    <mergeCell ref="D142:E142"/>
    <mergeCell ref="D143:E143"/>
    <mergeCell ref="D144:E144"/>
    <mergeCell ref="D145:E145"/>
    <mergeCell ref="D146:E146"/>
    <mergeCell ref="D151:E151"/>
    <mergeCell ref="D152:E152"/>
    <mergeCell ref="D153:E153"/>
    <mergeCell ref="D154:E154"/>
    <mergeCell ref="D147:E147"/>
    <mergeCell ref="D148:E148"/>
    <mergeCell ref="D149:E149"/>
    <mergeCell ref="D150:E150"/>
    <mergeCell ref="D160:E160"/>
    <mergeCell ref="D161:E161"/>
    <mergeCell ref="D162:E162"/>
    <mergeCell ref="D163:E163"/>
    <mergeCell ref="D155:E155"/>
    <mergeCell ref="D156:E156"/>
    <mergeCell ref="D157:E157"/>
    <mergeCell ref="D158:E158"/>
    <mergeCell ref="D159:E159"/>
    <mergeCell ref="D169:E169"/>
    <mergeCell ref="D164:E164"/>
    <mergeCell ref="D165:E165"/>
    <mergeCell ref="D166:E166"/>
    <mergeCell ref="D167:E167"/>
    <mergeCell ref="D168:E168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/>
  </sheetViews>
  <sheetFormatPr defaultRowHeight="12.75" x14ac:dyDescent="0.2"/>
  <cols>
    <col min="1" max="1" width="18" bestFit="1" customWidth="1"/>
    <col min="2" max="2" width="15.7109375" customWidth="1"/>
    <col min="3" max="3" width="23.28515625" customWidth="1"/>
  </cols>
  <sheetData>
    <row r="1" spans="1:9" ht="26.25" thickBot="1" x14ac:dyDescent="0.25">
      <c r="A1" s="22" t="s">
        <v>10</v>
      </c>
      <c r="B1" s="23"/>
      <c r="C1" s="24"/>
    </row>
    <row r="2" spans="1:9" ht="41.25" customHeight="1" thickBot="1" x14ac:dyDescent="0.25">
      <c r="A2" s="77" t="s">
        <v>0</v>
      </c>
      <c r="B2" s="18" t="s">
        <v>4</v>
      </c>
      <c r="C2" s="19" t="s">
        <v>3</v>
      </c>
    </row>
    <row r="3" spans="1:9" ht="13.9" hidden="1" customHeight="1" thickBot="1" x14ac:dyDescent="0.25">
      <c r="A3" s="78">
        <v>38758</v>
      </c>
      <c r="B3" s="34">
        <f t="shared" ref="B3:B5" si="0">(340+450+420+445+410+450)/6</f>
        <v>419.16666666666669</v>
      </c>
      <c r="C3" s="4"/>
    </row>
    <row r="4" spans="1:9" ht="13.5" hidden="1" thickBot="1" x14ac:dyDescent="0.25">
      <c r="A4" s="2">
        <f t="shared" ref="A4:A5" si="1">A3+7</f>
        <v>38765</v>
      </c>
      <c r="B4" s="5">
        <f t="shared" si="0"/>
        <v>419.16666666666669</v>
      </c>
      <c r="C4" s="4"/>
    </row>
    <row r="5" spans="1:9" ht="13.5" hidden="1" thickBot="1" x14ac:dyDescent="0.25">
      <c r="A5" s="2">
        <f t="shared" si="1"/>
        <v>38772</v>
      </c>
      <c r="B5" s="5">
        <f t="shared" si="0"/>
        <v>419.16666666666669</v>
      </c>
      <c r="C5" s="4"/>
    </row>
    <row r="6" spans="1:9" x14ac:dyDescent="0.2">
      <c r="A6" s="30">
        <v>44051</v>
      </c>
      <c r="B6" s="6">
        <v>355</v>
      </c>
      <c r="C6" s="14"/>
    </row>
    <row r="7" spans="1:9" x14ac:dyDescent="0.2">
      <c r="A7" s="31">
        <v>44058</v>
      </c>
      <c r="B7" s="7">
        <v>355</v>
      </c>
      <c r="C7" s="13"/>
    </row>
    <row r="8" spans="1:9" ht="13.5" thickBot="1" x14ac:dyDescent="0.25">
      <c r="A8" s="31">
        <v>44079</v>
      </c>
      <c r="B8" s="7">
        <v>357.5</v>
      </c>
      <c r="C8" s="13"/>
    </row>
    <row r="9" spans="1:9" ht="13.5" thickBot="1" x14ac:dyDescent="0.25">
      <c r="A9" s="32">
        <v>44086</v>
      </c>
      <c r="B9" s="8">
        <v>357.5</v>
      </c>
      <c r="C9" s="33">
        <f>SUM(B6:B9)/COUNT(B6:B9)</f>
        <v>356.25</v>
      </c>
    </row>
    <row r="10" spans="1:9" x14ac:dyDescent="0.2">
      <c r="A10" s="9"/>
      <c r="B10" s="10"/>
      <c r="C10" s="10"/>
    </row>
    <row r="11" spans="1:9" x14ac:dyDescent="0.2">
      <c r="F11" t="s">
        <v>5</v>
      </c>
      <c r="H11" t="s">
        <v>5</v>
      </c>
    </row>
    <row r="12" spans="1:9" x14ac:dyDescent="0.2">
      <c r="E12" t="s">
        <v>5</v>
      </c>
      <c r="F12" t="s">
        <v>5</v>
      </c>
      <c r="G12" t="s">
        <v>5</v>
      </c>
      <c r="H12" t="s">
        <v>5</v>
      </c>
      <c r="I12" t="s">
        <v>5</v>
      </c>
    </row>
    <row r="13" spans="1:9" x14ac:dyDescent="0.2">
      <c r="F13" t="s">
        <v>5</v>
      </c>
    </row>
    <row r="14" spans="1:9" x14ac:dyDescent="0.2">
      <c r="F14" t="s">
        <v>5</v>
      </c>
      <c r="G14" t="s">
        <v>5</v>
      </c>
      <c r="H14" t="s">
        <v>5</v>
      </c>
      <c r="I14" t="s">
        <v>5</v>
      </c>
    </row>
    <row r="15" spans="1:9" x14ac:dyDescent="0.2">
      <c r="C15" t="s">
        <v>5</v>
      </c>
      <c r="E15" t="s">
        <v>5</v>
      </c>
      <c r="F15" t="s">
        <v>5</v>
      </c>
      <c r="G15" t="s">
        <v>5</v>
      </c>
    </row>
    <row r="16" spans="1:9" x14ac:dyDescent="0.2">
      <c r="C16" t="s">
        <v>5</v>
      </c>
      <c r="E16" t="s">
        <v>5</v>
      </c>
      <c r="F16" t="s">
        <v>5</v>
      </c>
      <c r="G16" t="s">
        <v>6</v>
      </c>
      <c r="H16" t="s">
        <v>5</v>
      </c>
      <c r="I16" t="s">
        <v>5</v>
      </c>
    </row>
    <row r="17" spans="3:9" x14ac:dyDescent="0.2">
      <c r="C17" t="s">
        <v>5</v>
      </c>
      <c r="F17" t="s">
        <v>5</v>
      </c>
    </row>
    <row r="18" spans="3:9" x14ac:dyDescent="0.2">
      <c r="F18" t="s">
        <v>5</v>
      </c>
      <c r="H18" t="s">
        <v>5</v>
      </c>
    </row>
    <row r="19" spans="3:9" x14ac:dyDescent="0.2">
      <c r="D19" t="s">
        <v>5</v>
      </c>
      <c r="H19" t="s">
        <v>5</v>
      </c>
    </row>
    <row r="20" spans="3:9" x14ac:dyDescent="0.2">
      <c r="C20" t="s">
        <v>5</v>
      </c>
      <c r="G20" t="s">
        <v>5</v>
      </c>
      <c r="H20" t="s">
        <v>5</v>
      </c>
    </row>
    <row r="21" spans="3:9" x14ac:dyDescent="0.2">
      <c r="I21" t="s">
        <v>5</v>
      </c>
    </row>
    <row r="22" spans="3:9" x14ac:dyDescent="0.2">
      <c r="C22" t="s">
        <v>5</v>
      </c>
      <c r="G22" t="s">
        <v>6</v>
      </c>
    </row>
  </sheetData>
  <mergeCells count="1">
    <mergeCell ref="A2:A3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michael.marandi@dot.gov</cp:lastModifiedBy>
  <cp:lastPrinted>2014-09-22T18:25:30Z</cp:lastPrinted>
  <dcterms:created xsi:type="dcterms:W3CDTF">2006-01-30T17:20:09Z</dcterms:created>
  <dcterms:modified xsi:type="dcterms:W3CDTF">2024-02-20T16:15:39Z</dcterms:modified>
</cp:coreProperties>
</file>