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Files\Road User Cost Calculator\"/>
    </mc:Choice>
  </mc:AlternateContent>
  <xr:revisionPtr revIDLastSave="0" documentId="13_ncr:1_{A92F188A-862E-4D14-BD07-837AC035145C}" xr6:coauthVersionLast="47" xr6:coauthVersionMax="47" xr10:uidLastSave="{00000000-0000-0000-0000-000000000000}"/>
  <bookViews>
    <workbookView xWindow="9510" yWindow="1335" windowWidth="38700" windowHeight="15435" activeTab="1" xr2:uid="{00000000-000D-0000-FFFF-FFFF00000000}"/>
  </bookViews>
  <sheets>
    <sheet name="RUC Calculator" sheetId="11" r:id="rId1"/>
    <sheet name="RUC Data" sheetId="10" r:id="rId2"/>
    <sheet name="Sample NGG2" sheetId="12" r:id="rId3"/>
    <sheet name="Sample (2)" sheetId="13" r:id="rId4"/>
    <sheet name="Sample CT3" sheetId="14" r:id="rId5"/>
    <sheet name="Examples" sheetId="15" r:id="rId6"/>
    <sheet name="DOT User Cost" sheetId="1" state="hidden" r:id="rId7"/>
  </sheets>
  <externalReferences>
    <externalReference r:id="rId8"/>
  </externalReferences>
  <definedNames>
    <definedName name="_xlnm.Print_Area" localSheetId="0">'RUC Calculator'!$A$1:$F$38</definedName>
    <definedName name="_xlnm.Print_Area" localSheetId="1">'RUC Data'!$A$1:$AE$71</definedName>
    <definedName name="Table_VOT">[1]VOT!$F$6:$L$17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0" l="1"/>
  <c r="B18" i="10"/>
  <c r="B16" i="10"/>
  <c r="B12" i="10"/>
  <c r="B7" i="10"/>
  <c r="I11" i="12" l="1"/>
  <c r="E34" i="14"/>
  <c r="D34" i="14"/>
  <c r="D29" i="14"/>
  <c r="D28" i="14"/>
  <c r="D23" i="14"/>
  <c r="D24" i="14" s="1"/>
  <c r="D25" i="14" s="1"/>
  <c r="D22" i="14"/>
  <c r="E34" i="13"/>
  <c r="D34" i="13"/>
  <c r="D29" i="13"/>
  <c r="D28" i="13"/>
  <c r="D23" i="13"/>
  <c r="D22" i="13"/>
  <c r="E34" i="12"/>
  <c r="D34" i="12"/>
  <c r="D29" i="12"/>
  <c r="D28" i="12"/>
  <c r="D23" i="12"/>
  <c r="D22" i="12"/>
  <c r="E34" i="11"/>
  <c r="D34" i="11"/>
  <c r="D29" i="11"/>
  <c r="D28" i="11"/>
  <c r="D23" i="11"/>
  <c r="D22" i="11"/>
  <c r="D30" i="14" l="1"/>
  <c r="D24" i="13"/>
  <c r="D25" i="13" s="1"/>
  <c r="D30" i="13"/>
  <c r="D24" i="12"/>
  <c r="D30" i="12"/>
  <c r="D30" i="11"/>
  <c r="D24" i="11"/>
  <c r="D25" i="11" s="1"/>
  <c r="D25" i="12" l="1"/>
  <c r="W14" i="10" l="1"/>
  <c r="X22" i="10" s="1"/>
  <c r="W7" i="10"/>
  <c r="W22" i="10" s="1"/>
  <c r="E66" i="10" l="1"/>
  <c r="E63" i="10"/>
  <c r="E43" i="10"/>
  <c r="E47" i="10"/>
  <c r="E51" i="10"/>
  <c r="E70" i="10" l="1"/>
  <c r="V22" i="10" s="1"/>
  <c r="E59" i="10"/>
  <c r="U22" i="10" s="1"/>
  <c r="W23" i="10"/>
  <c r="D33" i="13"/>
  <c r="D35" i="13" s="1"/>
  <c r="E55" i="10"/>
  <c r="T22" i="10" s="1"/>
  <c r="W24" i="10" l="1"/>
  <c r="W25" i="10" s="1"/>
  <c r="W26" i="10" s="1"/>
  <c r="W27" i="10" s="1"/>
  <c r="W28" i="10" s="1"/>
  <c r="D33" i="12"/>
  <c r="D35" i="12" s="1"/>
  <c r="D33" i="11"/>
  <c r="D35" i="11" s="1"/>
  <c r="D33" i="14"/>
  <c r="D35" i="14" s="1"/>
  <c r="U23" i="10"/>
  <c r="U24" i="10" s="1"/>
  <c r="U25" i="10" s="1"/>
  <c r="U26" i="10" s="1"/>
  <c r="U27" i="10" s="1"/>
  <c r="U28" i="10" s="1"/>
  <c r="D21" i="14"/>
  <c r="V23" i="10"/>
  <c r="E21" i="13"/>
  <c r="X23" i="10"/>
  <c r="E33" i="13"/>
  <c r="E35" i="13" s="1"/>
  <c r="X24" i="10" l="1"/>
  <c r="X25" i="10" s="1"/>
  <c r="X26" i="10" s="1"/>
  <c r="X27" i="10" s="1"/>
  <c r="X28" i="10" s="1"/>
  <c r="E33" i="14"/>
  <c r="E35" i="14" s="1"/>
  <c r="E33" i="12"/>
  <c r="E35" i="12" s="1"/>
  <c r="E33" i="11"/>
  <c r="E35" i="11" s="1"/>
  <c r="V24" i="10"/>
  <c r="V25" i="10" s="1"/>
  <c r="V26" i="10" s="1"/>
  <c r="V27" i="10" s="1"/>
  <c r="V28" i="10" s="1"/>
  <c r="E21" i="11"/>
  <c r="E21" i="14"/>
  <c r="E21" i="12"/>
  <c r="D21" i="12"/>
  <c r="D26" i="12" s="1"/>
  <c r="D27" i="12" s="1"/>
  <c r="D21" i="11"/>
  <c r="D26" i="11" s="1"/>
  <c r="D27" i="11" s="1"/>
  <c r="D31" i="14"/>
  <c r="D32" i="14" s="1"/>
  <c r="D26" i="14"/>
  <c r="D27" i="14" s="1"/>
  <c r="E31" i="13"/>
  <c r="E32" i="13" s="1"/>
  <c r="E26" i="13"/>
  <c r="E27" i="13" s="1"/>
  <c r="T23" i="10"/>
  <c r="T24" i="10" s="1"/>
  <c r="T25" i="10" s="1"/>
  <c r="T26" i="10" s="1"/>
  <c r="T27" i="10" s="1"/>
  <c r="T28" i="10" s="1"/>
  <c r="D21" i="13"/>
  <c r="E26" i="14" l="1"/>
  <c r="E27" i="14" s="1"/>
  <c r="E31" i="14"/>
  <c r="E32" i="14" s="1"/>
  <c r="E26" i="12"/>
  <c r="E27" i="12" s="1"/>
  <c r="E31" i="12"/>
  <c r="E32" i="12" s="1"/>
  <c r="E31" i="11"/>
  <c r="E32" i="11" s="1"/>
  <c r="E26" i="11"/>
  <c r="E27" i="11" s="1"/>
  <c r="D31" i="12"/>
  <c r="D32" i="12" s="1"/>
  <c r="D31" i="11"/>
  <c r="D32" i="11" s="1"/>
  <c r="D37" i="11" s="1"/>
  <c r="D37" i="12"/>
  <c r="I4" i="12" s="1"/>
  <c r="I6" i="12" s="1"/>
  <c r="I12" i="12" s="1"/>
  <c r="D31" i="13"/>
  <c r="D32" i="13" s="1"/>
  <c r="D26" i="13"/>
  <c r="D27" i="13" s="1"/>
  <c r="D37" i="14" l="1"/>
  <c r="D37" i="13"/>
</calcChain>
</file>

<file path=xl/sharedStrings.xml><?xml version="1.0" encoding="utf-8"?>
<sst xmlns="http://schemas.openxmlformats.org/spreadsheetml/2006/main" count="342" uniqueCount="185">
  <si>
    <t>Road User component</t>
  </si>
  <si>
    <t>Queue Delay  (Added Time)</t>
  </si>
  <si>
    <t>Queue Idling VOC  (Added Cost)</t>
  </si>
  <si>
    <t>Work Zone Delay  (Added Time)</t>
  </si>
  <si>
    <t>Car</t>
  </si>
  <si>
    <t>Truck</t>
  </si>
  <si>
    <t>Vehicle Pass</t>
  </si>
  <si>
    <t>Percent Class (%)</t>
  </si>
  <si>
    <t>Total Vehicles (#)</t>
  </si>
  <si>
    <t>Added Travel Length (Mi/Veh)</t>
  </si>
  <si>
    <t>Added Time (Hr/Veh)</t>
  </si>
  <si>
    <t>Cost Rate ($/Veh-hr, $/Mi)</t>
  </si>
  <si>
    <t>Road User Cost ($)</t>
  </si>
  <si>
    <t>Circuity VOC  (Added Cost)</t>
  </si>
  <si>
    <t>Circuity Delay  (Added Time)</t>
  </si>
  <si>
    <t>Total User cost per day</t>
  </si>
  <si>
    <t>Project Year</t>
  </si>
  <si>
    <t>Actual</t>
  </si>
  <si>
    <t>Estimated at 3% increase per year</t>
  </si>
  <si>
    <t>Travel Delay Costs</t>
  </si>
  <si>
    <t>Median US Household Income</t>
  </si>
  <si>
    <t>Link:</t>
  </si>
  <si>
    <t>Source:</t>
  </si>
  <si>
    <t>Total Compensation (per hour)</t>
  </si>
  <si>
    <t>National Compensation Survey</t>
  </si>
  <si>
    <t>Median hourly wages for truck drivers</t>
  </si>
  <si>
    <t>Truck Drivers, Heavy and Tractor Trailer</t>
  </si>
  <si>
    <t>Truck Drivers, Light or Delivery Services</t>
  </si>
  <si>
    <t>Total Benefits, Production, Transportation</t>
  </si>
  <si>
    <t>and material moving occupations</t>
  </si>
  <si>
    <t>Average Vehicle Occupancy</t>
  </si>
  <si>
    <t>Passenger Vehicle, local trip</t>
  </si>
  <si>
    <t>Passenger Vehicle, intercity</t>
  </si>
  <si>
    <t>Passenger Vehicle, business</t>
  </si>
  <si>
    <t>Single Unit Trucks</t>
  </si>
  <si>
    <t>Combination Trucks</t>
  </si>
  <si>
    <t>FHWA-HOP-12-005</t>
  </si>
  <si>
    <t>Work Zone Road User Costs - Concepts and Applications</t>
  </si>
  <si>
    <t>Chapter 2.2</t>
  </si>
  <si>
    <t>Personal travel, local</t>
  </si>
  <si>
    <t>Average Vehicle Occupancy * 50% of Median Annual Household Income/ 2080 hours/year</t>
  </si>
  <si>
    <t>per vehicle-hour</t>
  </si>
  <si>
    <t>Personal travel, intercity</t>
  </si>
  <si>
    <t>Average Vehicle Occupancy * 70% of Median Annual Household Income / 2080 hours/year</t>
  </si>
  <si>
    <t>Business travel</t>
  </si>
  <si>
    <t>Average Vehicle Occupancy * 100% of Median hourly wages plus benefits</t>
  </si>
  <si>
    <t>Truck travel</t>
  </si>
  <si>
    <t>Average Vehicle Occupancy*100%(Median Hourly Wages+Total Benefits)</t>
  </si>
  <si>
    <t>Monetary Value of time Equations</t>
  </si>
  <si>
    <t>Update highlighted rates annually with latest data.</t>
  </si>
  <si>
    <t>https://ops.fhwa.dot.gov/wz/resources/publications/fhwahop12005/sec2.htm</t>
  </si>
  <si>
    <t>Trip Type</t>
  </si>
  <si>
    <t>Intercity</t>
  </si>
  <si>
    <t>All Civilian Employees</t>
  </si>
  <si>
    <t>Income Data</t>
  </si>
  <si>
    <t>Vehicle Operation Costs</t>
  </si>
  <si>
    <t>Average Truck Operating Cost</t>
  </si>
  <si>
    <t>Fuel</t>
  </si>
  <si>
    <t>Maintenance, repairs, tires</t>
  </si>
  <si>
    <t>Total:</t>
  </si>
  <si>
    <t>Repair &amp; Maintenance</t>
  </si>
  <si>
    <t>Tires</t>
  </si>
  <si>
    <t>per mile</t>
  </si>
  <si>
    <t>Local Travel</t>
  </si>
  <si>
    <t>Personal</t>
  </si>
  <si>
    <t>Business</t>
  </si>
  <si>
    <t>Percent of Personal Trips * Personal Intercity Travel rate + Percent of Business Trips * Business Travel rate</t>
  </si>
  <si>
    <t>Percent of Personal Trips * Personal Local Travel rate + Percent of Business Trips * Business Travel rate</t>
  </si>
  <si>
    <t>Passenger Vehicle</t>
  </si>
  <si>
    <t xml:space="preserve">Average Vehicle Occupancy Rates </t>
  </si>
  <si>
    <t>and Monetary Value equations</t>
  </si>
  <si>
    <t>taken from:</t>
  </si>
  <si>
    <t>Truck Type</t>
  </si>
  <si>
    <t>Single Unit</t>
  </si>
  <si>
    <t>Combination</t>
  </si>
  <si>
    <t>Percent Single Unit Trucks * Single Unit rate + Percent Combination Trucks * Combination Truck rate</t>
  </si>
  <si>
    <t>Truck Travel, average</t>
  </si>
  <si>
    <t>Operation Cost / mile</t>
  </si>
  <si>
    <t>Travel Delay cost / hour</t>
  </si>
  <si>
    <t>Local</t>
  </si>
  <si>
    <t>To add: Time-related vehicle depreciation.  (This will increase the hourly cost of trucks significantly)</t>
  </si>
  <si>
    <t>Project Information</t>
  </si>
  <si>
    <t>Calculations</t>
  </si>
  <si>
    <t>Hourly Value of Time:</t>
  </si>
  <si>
    <t>Results</t>
  </si>
  <si>
    <t>Project Year:</t>
  </si>
  <si>
    <t>Road User Cost Worksheet</t>
  </si>
  <si>
    <t>Project ID:</t>
  </si>
  <si>
    <t>Project Name:</t>
  </si>
  <si>
    <t>Data Input</t>
  </si>
  <si>
    <t>Workzone Delay Cost per vehicle:</t>
  </si>
  <si>
    <t>Detour Delay Cost per vehicle:</t>
  </si>
  <si>
    <t>Vehicle Operating Costs ($/mile)</t>
  </si>
  <si>
    <t>Additional Miles from detour (veh-miles):</t>
  </si>
  <si>
    <t>Average Road User Cost per Day:</t>
  </si>
  <si>
    <t>Route Type:</t>
  </si>
  <si>
    <t>ADT through Workzone:</t>
  </si>
  <si>
    <t>Workzone Length (miles):</t>
  </si>
  <si>
    <t>Original Posted Speed (MPH):</t>
  </si>
  <si>
    <t>Workzone Speed (MPH):</t>
  </si>
  <si>
    <t>Stopped Time in Workzone (minutes):</t>
  </si>
  <si>
    <t>Length of Normal Route (miles):</t>
  </si>
  <si>
    <t>Average Speed on Detour Route (MPH):</t>
  </si>
  <si>
    <t>Percentage of ADT using Detour:</t>
  </si>
  <si>
    <t>Travel Time along Normal Route (min):</t>
  </si>
  <si>
    <t>Travel Time along Detour Route (min):</t>
  </si>
  <si>
    <t>Additional Travel Time on Detour (min):</t>
  </si>
  <si>
    <t>Additional Workzone Travel Time (min):</t>
  </si>
  <si>
    <t>Travel Time at Workzone Speed (min):</t>
  </si>
  <si>
    <t>Travel Time at Posted Speed (min):</t>
  </si>
  <si>
    <t>Total Workzone Delay Cost:</t>
  </si>
  <si>
    <t>Total Detour Delay Cost:</t>
  </si>
  <si>
    <t>Sample</t>
  </si>
  <si>
    <t>Norris to Golden Gate Phase 2</t>
  </si>
  <si>
    <t>Total Workzone Delay per vehicle (min):</t>
  </si>
  <si>
    <t>Total Workzone Delay per Vehicle (min):</t>
  </si>
  <si>
    <t>Total Additional Vehicle Operating Costs:</t>
  </si>
  <si>
    <t>Canyon to Tower Phase 3</t>
  </si>
  <si>
    <t>Project:</t>
  </si>
  <si>
    <t>Max Incentive:</t>
  </si>
  <si>
    <t>Max Incentive Days</t>
  </si>
  <si>
    <t>RUC</t>
  </si>
  <si>
    <t>Admin</t>
  </si>
  <si>
    <t>Total B Cost</t>
  </si>
  <si>
    <t>Travel Time Cost before Construction</t>
  </si>
  <si>
    <t>= (ADT) x (% cars or trucks) x (length) ÷ (speed) x (travel time cost) x (min/hour)</t>
  </si>
  <si>
    <t>Cars:</t>
  </si>
  <si>
    <t>1000 vehicle x (.85) x 10 Mi ÷ 60 Mi/Hr x $.39/min/veh x 60 min/hr = $3315/day</t>
  </si>
  <si>
    <t>Trucks:</t>
  </si>
  <si>
    <t>1000 veh/day x (.15) x 10 Mi ÷ 60 Mi/Hr x $1.04/min/veh x 60 min/hr = $1560/day</t>
  </si>
  <si>
    <t>Travel time cost before construction = $4875 per day</t>
  </si>
  <si>
    <t>Travel Time Cost during Construction (using project route)</t>
  </si>
  <si>
    <t>= (ADT) x (% cars or trucks) x (% using project route) x (length) ÷ (speed) x (travel time cost) x (min/hour)</t>
  </si>
  <si>
    <t>1000 veh/day x (.85) x (.80) x 10 Mi ÷ 40 Mi/Hr x $.39/min/veh x 60 min/hr = $3978/day</t>
  </si>
  <si>
    <t>1000 veh/day x (.15) x (.80) x 10 Mi ÷ 40 Mi/Hr x $1.04/min/veh x 60 min/hr = $1872/day</t>
  </si>
  <si>
    <t>Travel time cost during project = $5850 per day</t>
  </si>
  <si>
    <t>Travel Time Cost during Construction (using alternate route)</t>
  </si>
  <si>
    <t>= (ADT) x (% cars or trucks) x (% using alternate route) x (length) ÷ (speed) x (travel time cost) x (min/hour)</t>
  </si>
  <si>
    <t>1000 veh/day x (.85) x (.20) x 10 Mi ÷ 25 Mi/Hr x $.39/min/veh x 60 min/hr = $1591/day</t>
  </si>
  <si>
    <t>1000 veh/day x (.15) x (.20) x 10 Mi ÷ 25 Mi/Hr x $1.04/min/veh x 60 min/hr = $749/day</t>
  </si>
  <si>
    <t>Travel time (alternate route) cost during project = $2340 per day</t>
  </si>
  <si>
    <t>Vehicle operating cost before project.</t>
  </si>
  <si>
    <t>= (ADT) x (% cars or trucks) x (length) x (cost/km)</t>
  </si>
  <si>
    <t>1000 veh/day x (.85) x 10 Mi x $.39/Mi = $3315/day</t>
  </si>
  <si>
    <t>1000 veh/day x (.15) x 10 Mi x $1.04/Mi = $1560/day</t>
  </si>
  <si>
    <t>Vehicle operating cost before project = $4,875 per day</t>
  </si>
  <si>
    <t>Vehicle operating cost during project</t>
  </si>
  <si>
    <t>= (ADT) x (% cars or trucks) x (% on project or alternate route) x (length) x (cost/km)</t>
  </si>
  <si>
    <t>Cars on project route:</t>
  </si>
  <si>
    <t>1000 veh/day x (.85) x (.80) x 10 Mi x $.59/Mi = $3978/day</t>
  </si>
  <si>
    <t>Trucks on project route:</t>
  </si>
  <si>
    <t>1000 veh/day x (.15) x (.80) x 10 Mi x $1.56/Mi = $1872/day</t>
  </si>
  <si>
    <t>Cars on alternate route:</t>
  </si>
  <si>
    <t>1000 veh/day x (.85) x (.20) x 20 Mi x $.94/Mi = $1591/day</t>
  </si>
  <si>
    <t>Trucks on alternate route:</t>
  </si>
  <si>
    <t>1000 veh/day X (.15) x (.20) x 20 Mi x $2.50/Mi = $748/day</t>
  </si>
  <si>
    <t>Vehicle operating cost during project = $8,190 per day</t>
  </si>
  <si>
    <t>Total Road user cost + $3,315 + $3,315 = $6,630 per day</t>
  </si>
  <si>
    <t>Length of Detour Route (miles):</t>
  </si>
  <si>
    <t>Park</t>
  </si>
  <si>
    <t>(NPS) Park Travel</t>
  </si>
  <si>
    <t>Road User Cost per Day:</t>
  </si>
  <si>
    <t>Single Unit trucks: 1.025 * ($15.12+$9.93)</t>
  </si>
  <si>
    <t>0.937 * $24.64 + 0.063 * $45.42</t>
  </si>
  <si>
    <t>0.937 * $47.50 + 0.063 + $45.42</t>
  </si>
  <si>
    <t>Combination trucks: 1.12*($20.42+$9.93)</t>
  </si>
  <si>
    <t>40% * $25.68 + 60% * $33.99</t>
  </si>
  <si>
    <t>Updated</t>
  </si>
  <si>
    <t>ATRI Operational Cost of Trucking 202020</t>
  </si>
  <si>
    <t>Ben Vincent</t>
  </si>
  <si>
    <t>benjamin.vincent@dot.gov</t>
  </si>
  <si>
    <t>Average Passenger Vehicle Operating Cost - 2021 Weighted Average</t>
  </si>
  <si>
    <t>Income in the United States: 2021</t>
  </si>
  <si>
    <t>Report Number P60-276</t>
  </si>
  <si>
    <t>https://www.census.gov/library/publications/2022/demo/p60-276.html</t>
  </si>
  <si>
    <t>https://www.bls.gov/news.release/pdf/ecec.pdf</t>
  </si>
  <si>
    <t>Bureau of Labor and Statistics, Employer Costs for Employee Compensation - March 2023</t>
  </si>
  <si>
    <t>https://www.bls.gov/oes/current/oes_nat.htm</t>
  </si>
  <si>
    <t>May 2022 National Occupational Employment and Wage Estimates</t>
  </si>
  <si>
    <t>https://newsroom.aaa.com/wp-content/uploads/2022/08/2022-YourDrivingCosts-FactSheet-7-1.pdf</t>
  </si>
  <si>
    <t>AAA 2022 Your Driving Costs</t>
  </si>
  <si>
    <t>1.67* 0.50 * $70784 / 2080</t>
  </si>
  <si>
    <t>2.3 * 0.70 * $70784 / 2080</t>
  </si>
  <si>
    <t>1.24 * $43.07</t>
  </si>
  <si>
    <t>https://truckingresearch.org/wp-content/uploads/2023/06/ATRI-Operational-Cost-of-Trucking-06-2023.pdf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</si>
</sst>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.000_);[Red]\(&quot;$&quot;#,##0.000\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3" xfId="1" applyAlignment="1">
      <alignment horizontal="center"/>
    </xf>
    <xf numFmtId="0" fontId="2" fillId="0" borderId="1" xfId="2" applyBorder="1" applyAlignment="1">
      <alignment horizontal="center" wrapText="1"/>
    </xf>
    <xf numFmtId="0" fontId="1" fillId="0" borderId="3" xfId="1" applyAlignment="1">
      <alignment horizontal="left"/>
    </xf>
    <xf numFmtId="0" fontId="0" fillId="0" borderId="1" xfId="0" applyBorder="1"/>
    <xf numFmtId="0" fontId="0" fillId="0" borderId="6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6" xfId="0" applyNumberFormat="1" applyBorder="1"/>
    <xf numFmtId="0" fontId="0" fillId="3" borderId="1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/>
    </xf>
    <xf numFmtId="6" fontId="1" fillId="5" borderId="4" xfId="0" applyNumberFormat="1" applyFont="1" applyFill="1" applyBorder="1"/>
    <xf numFmtId="8" fontId="0" fillId="0" borderId="0" xfId="0" applyNumberFormat="1"/>
    <xf numFmtId="8" fontId="1" fillId="5" borderId="4" xfId="0" applyNumberFormat="1" applyFont="1" applyFill="1" applyBorder="1"/>
    <xf numFmtId="0" fontId="3" fillId="0" borderId="0" xfId="3" applyAlignment="1" applyProtection="1"/>
    <xf numFmtId="0" fontId="5" fillId="0" borderId="0" xfId="0" applyFont="1"/>
    <xf numFmtId="0" fontId="0" fillId="0" borderId="0" xfId="0" quotePrefix="1"/>
    <xf numFmtId="0" fontId="0" fillId="5" borderId="0" xfId="0" applyFill="1"/>
    <xf numFmtId="0" fontId="6" fillId="0" borderId="0" xfId="0" applyFont="1"/>
    <xf numFmtId="8" fontId="0" fillId="0" borderId="4" xfId="0" applyNumberFormat="1" applyBorder="1"/>
    <xf numFmtId="165" fontId="0" fillId="5" borderId="0" xfId="0" applyNumberFormat="1" applyFill="1"/>
    <xf numFmtId="165" fontId="0" fillId="0" borderId="4" xfId="0" applyNumberFormat="1" applyBorder="1"/>
    <xf numFmtId="10" fontId="0" fillId="0" borderId="0" xfId="0" applyNumberFormat="1"/>
    <xf numFmtId="8" fontId="0" fillId="0" borderId="0" xfId="0" quotePrefix="1" applyNumberFormat="1"/>
    <xf numFmtId="0" fontId="1" fillId="0" borderId="0" xfId="0" applyFont="1"/>
    <xf numFmtId="8" fontId="1" fillId="0" borderId="4" xfId="0" applyNumberFormat="1" applyFont="1" applyBorder="1"/>
    <xf numFmtId="10" fontId="0" fillId="0" borderId="1" xfId="0" applyNumberFormat="1" applyBorder="1"/>
    <xf numFmtId="9" fontId="0" fillId="0" borderId="1" xfId="0" applyNumberFormat="1" applyBorder="1"/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164" fontId="0" fillId="0" borderId="14" xfId="0" applyNumberFormat="1" applyBorder="1"/>
    <xf numFmtId="164" fontId="0" fillId="0" borderId="15" xfId="0" applyNumberFormat="1" applyBorder="1"/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34" xfId="0" applyFill="1" applyBorder="1"/>
    <xf numFmtId="0" fontId="0" fillId="7" borderId="49" xfId="0" applyFill="1" applyBorder="1"/>
    <xf numFmtId="0" fontId="7" fillId="0" borderId="5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164" fontId="0" fillId="0" borderId="34" xfId="0" applyNumberFormat="1" applyBorder="1"/>
    <xf numFmtId="164" fontId="0" fillId="0" borderId="10" xfId="0" applyNumberFormat="1" applyBorder="1"/>
    <xf numFmtId="164" fontId="0" fillId="0" borderId="49" xfId="0" applyNumberFormat="1" applyBorder="1"/>
    <xf numFmtId="6" fontId="0" fillId="0" borderId="0" xfId="0" applyNumberFormat="1"/>
    <xf numFmtId="9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3" borderId="1" xfId="0" applyFill="1" applyBorder="1" applyAlignment="1">
      <alignment horizontal="center" vertical="top" wrapText="1"/>
    </xf>
    <xf numFmtId="0" fontId="0" fillId="3" borderId="56" xfId="0" applyFill="1" applyBorder="1" applyAlignment="1">
      <alignment horizontal="center" vertical="center"/>
    </xf>
    <xf numFmtId="164" fontId="0" fillId="3" borderId="57" xfId="0" applyNumberFormat="1" applyFill="1" applyBorder="1" applyAlignment="1">
      <alignment horizontal="center"/>
    </xf>
    <xf numFmtId="164" fontId="0" fillId="3" borderId="58" xfId="0" applyNumberFormat="1" applyFill="1" applyBorder="1" applyAlignment="1">
      <alignment horizontal="center"/>
    </xf>
    <xf numFmtId="164" fontId="0" fillId="3" borderId="62" xfId="0" applyNumberFormat="1" applyFill="1" applyBorder="1" applyAlignment="1">
      <alignment horizontal="center"/>
    </xf>
    <xf numFmtId="14" fontId="1" fillId="0" borderId="0" xfId="0" applyNumberFormat="1" applyFont="1"/>
    <xf numFmtId="17" fontId="0" fillId="0" borderId="0" xfId="0" applyNumberFormat="1" applyAlignment="1">
      <alignment horizontal="left"/>
    </xf>
    <xf numFmtId="0" fontId="0" fillId="4" borderId="63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/>
    </xf>
    <xf numFmtId="164" fontId="0" fillId="4" borderId="64" xfId="0" applyNumberFormat="1" applyFill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164" fontId="0" fillId="3" borderId="65" xfId="0" applyNumberFormat="1" applyFill="1" applyBorder="1" applyAlignment="1">
      <alignment horizontal="center"/>
    </xf>
    <xf numFmtId="17" fontId="0" fillId="0" borderId="0" xfId="0" applyNumberFormat="1"/>
    <xf numFmtId="0" fontId="0" fillId="0" borderId="45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7" borderId="37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7" fillId="6" borderId="46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5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1" fillId="0" borderId="50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7" fillId="6" borderId="42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166" fontId="1" fillId="0" borderId="44" xfId="0" applyNumberFormat="1" applyFont="1" applyBorder="1" applyAlignment="1">
      <alignment horizontal="center"/>
    </xf>
    <xf numFmtId="166" fontId="1" fillId="0" borderId="51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7" borderId="11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3" borderId="6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0" fillId="0" borderId="50" xfId="0" applyBorder="1" applyAlignment="1">
      <alignment horizontal="right"/>
    </xf>
    <xf numFmtId="0" fontId="0" fillId="0" borderId="44" xfId="0" applyBorder="1" applyAlignment="1">
      <alignment horizontal="right"/>
    </xf>
    <xf numFmtId="166" fontId="0" fillId="0" borderId="44" xfId="0" applyNumberFormat="1" applyBorder="1" applyAlignment="1">
      <alignment horizontal="center"/>
    </xf>
    <xf numFmtId="166" fontId="0" fillId="0" borderId="5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eading 4" xfId="2" builtinId="19"/>
    <cellStyle name="Hyperlink" xfId="3" builtinId="8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+B\ruc-calculator_TxD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FAQ"/>
      <sheetName val="Traffic_Data"/>
      <sheetName val="Reduced_Speed"/>
      <sheetName val="Increased Travel_Time"/>
      <sheetName val="Detour_Distance"/>
      <sheetName val="VOT"/>
      <sheetName val="CodeChart 03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F6">
            <v>2014</v>
          </cell>
          <cell r="G6">
            <v>21.42</v>
          </cell>
          <cell r="H6">
            <v>31.28</v>
          </cell>
        </row>
        <row r="7">
          <cell r="F7">
            <v>2015</v>
          </cell>
          <cell r="G7">
            <v>21.73</v>
          </cell>
          <cell r="H7">
            <v>31.71</v>
          </cell>
        </row>
        <row r="8">
          <cell r="F8">
            <v>2016</v>
          </cell>
          <cell r="G8">
            <v>22.09</v>
          </cell>
          <cell r="H8">
            <v>32.26</v>
          </cell>
        </row>
        <row r="9">
          <cell r="F9">
            <v>2017</v>
          </cell>
          <cell r="G9">
            <v>22.12</v>
          </cell>
          <cell r="H9">
            <v>32.299999999999997</v>
          </cell>
        </row>
        <row r="10">
          <cell r="F10">
            <v>2018</v>
          </cell>
          <cell r="G10">
            <v>28.69</v>
          </cell>
          <cell r="H10">
            <v>36.28</v>
          </cell>
          <cell r="K10">
            <v>0.58199999999999996</v>
          </cell>
          <cell r="L10">
            <v>1.0349999999999999</v>
          </cell>
        </row>
        <row r="11">
          <cell r="F11">
            <v>2019</v>
          </cell>
          <cell r="G11">
            <v>29.263800000000003</v>
          </cell>
          <cell r="H11">
            <v>37.005600000000001</v>
          </cell>
          <cell r="K11">
            <v>0.58199999999999996</v>
          </cell>
          <cell r="L11">
            <v>1.0349999999999999</v>
          </cell>
        </row>
        <row r="12">
          <cell r="F12">
            <v>2020</v>
          </cell>
          <cell r="G12">
            <v>29.849076000000004</v>
          </cell>
          <cell r="H12">
            <v>37.745712000000005</v>
          </cell>
          <cell r="I12" t="str">
            <v>Estimated at 2%</v>
          </cell>
          <cell r="K12">
            <v>0.58199999999999996</v>
          </cell>
          <cell r="L12">
            <v>1.0349999999999999</v>
          </cell>
        </row>
        <row r="13">
          <cell r="F13">
            <v>2021</v>
          </cell>
          <cell r="G13">
            <v>30.446057520000004</v>
          </cell>
          <cell r="H13">
            <v>38.500626240000003</v>
          </cell>
          <cell r="K13">
            <v>0.58199999999999996</v>
          </cell>
          <cell r="L13">
            <v>1.0349999999999999</v>
          </cell>
        </row>
        <row r="14">
          <cell r="F14">
            <v>2022</v>
          </cell>
          <cell r="G14">
            <v>31.054978670400004</v>
          </cell>
          <cell r="H14">
            <v>39.270638764800005</v>
          </cell>
          <cell r="K14">
            <v>0.58199999999999996</v>
          </cell>
          <cell r="L14">
            <v>1.0349999999999999</v>
          </cell>
        </row>
        <row r="15">
          <cell r="F15">
            <v>2023</v>
          </cell>
          <cell r="G15">
            <v>31.676078243808004</v>
          </cell>
          <cell r="H15">
            <v>40.056051540096007</v>
          </cell>
          <cell r="K15">
            <v>0.58199999999999996</v>
          </cell>
          <cell r="L15">
            <v>1.0349999999999999</v>
          </cell>
        </row>
        <row r="16">
          <cell r="F16">
            <v>2024</v>
          </cell>
          <cell r="G16">
            <v>32.309599808684162</v>
          </cell>
          <cell r="H16">
            <v>40.85717257089793</v>
          </cell>
          <cell r="K16">
            <v>0.58199999999999996</v>
          </cell>
          <cell r="L16">
            <v>1.0349999999999999</v>
          </cell>
        </row>
        <row r="17">
          <cell r="F17">
            <v>2025</v>
          </cell>
          <cell r="G17">
            <v>32.955791804857846</v>
          </cell>
          <cell r="H17">
            <v>41.674316022315892</v>
          </cell>
          <cell r="K17">
            <v>0.58199999999999996</v>
          </cell>
          <cell r="L17">
            <v>1.0349999999999999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newsroom.aaa.com/wp-content/uploads/2022/08/2022-YourDrivingCosts-FactSheet-7-1.pdf" TargetMode="External"/><Relationship Id="rId7" Type="http://schemas.openxmlformats.org/officeDocument/2006/relationships/hyperlink" Target="https://www.bls.gov/news.release/pdf/ecec.pdf" TargetMode="External"/><Relationship Id="rId2" Type="http://schemas.openxmlformats.org/officeDocument/2006/relationships/hyperlink" Target="https://www.bls.gov/oes/current/oes_nat.htm" TargetMode="External"/><Relationship Id="rId1" Type="http://schemas.openxmlformats.org/officeDocument/2006/relationships/hyperlink" Target="https://www.bls.gov/news.release/pdf/ecec.pdf" TargetMode="External"/><Relationship Id="rId6" Type="http://schemas.openxmlformats.org/officeDocument/2006/relationships/hyperlink" Target="https://truckingresearch.org/wp-content/uploads/2023/06/ATRI-Operational-Cost-of-Trucking-06-2023.pdf" TargetMode="External"/><Relationship Id="rId5" Type="http://schemas.openxmlformats.org/officeDocument/2006/relationships/hyperlink" Target="mailto:benjamin.vincent@dot.gov" TargetMode="External"/><Relationship Id="rId4" Type="http://schemas.openxmlformats.org/officeDocument/2006/relationships/hyperlink" Target="https://www.census.gov/library/publications/2022/demo/p60-276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8"/>
  <sheetViews>
    <sheetView topLeftCell="A7" zoomScaleNormal="100" workbookViewId="0">
      <selection activeCell="G9" sqref="G9"/>
    </sheetView>
  </sheetViews>
  <sheetFormatPr defaultRowHeight="15" x14ac:dyDescent="0.25"/>
  <cols>
    <col min="1" max="1" width="5.7109375" customWidth="1"/>
    <col min="2" max="3" width="21.7109375" customWidth="1"/>
    <col min="4" max="5" width="16.7109375" customWidth="1"/>
    <col min="6" max="6" width="5.7109375" customWidth="1"/>
  </cols>
  <sheetData>
    <row r="1" spans="2:5" ht="15.75" thickBot="1" x14ac:dyDescent="0.3"/>
    <row r="2" spans="2:5" ht="24" thickBot="1" x14ac:dyDescent="0.4">
      <c r="B2" s="88" t="s">
        <v>86</v>
      </c>
      <c r="C2" s="89"/>
      <c r="D2" s="89"/>
      <c r="E2" s="90"/>
    </row>
    <row r="3" spans="2:5" ht="19.5" thickTop="1" x14ac:dyDescent="0.3">
      <c r="B3" s="95" t="s">
        <v>81</v>
      </c>
      <c r="C3" s="96"/>
      <c r="D3" s="96"/>
      <c r="E3" s="97"/>
    </row>
    <row r="4" spans="2:5" x14ac:dyDescent="0.25">
      <c r="B4" s="77" t="s">
        <v>87</v>
      </c>
      <c r="C4" s="78"/>
      <c r="D4" s="91"/>
      <c r="E4" s="92"/>
    </row>
    <row r="5" spans="2:5" x14ac:dyDescent="0.25">
      <c r="B5" s="93" t="s">
        <v>88</v>
      </c>
      <c r="C5" s="94"/>
      <c r="D5" s="91"/>
      <c r="E5" s="92"/>
    </row>
    <row r="6" spans="2:5" x14ac:dyDescent="0.25">
      <c r="B6" s="93"/>
      <c r="C6" s="94"/>
      <c r="D6" s="91"/>
      <c r="E6" s="92"/>
    </row>
    <row r="7" spans="2:5" x14ac:dyDescent="0.25">
      <c r="B7" s="77" t="s">
        <v>85</v>
      </c>
      <c r="C7" s="78"/>
      <c r="D7" s="79">
        <v>2023</v>
      </c>
      <c r="E7" s="80"/>
    </row>
    <row r="8" spans="2:5" x14ac:dyDescent="0.25">
      <c r="B8" s="77" t="s">
        <v>95</v>
      </c>
      <c r="C8" s="78"/>
      <c r="D8" s="79" t="s">
        <v>79</v>
      </c>
      <c r="E8" s="80"/>
    </row>
    <row r="9" spans="2:5" ht="19.5" thickBot="1" x14ac:dyDescent="0.35">
      <c r="B9" s="81" t="s">
        <v>89</v>
      </c>
      <c r="C9" s="82"/>
      <c r="D9" s="82"/>
      <c r="E9" s="83"/>
    </row>
    <row r="10" spans="2:5" ht="20.25" thickTop="1" thickBot="1" x14ac:dyDescent="0.35">
      <c r="B10" s="84"/>
      <c r="C10" s="85"/>
      <c r="D10" s="49" t="s">
        <v>4</v>
      </c>
      <c r="E10" s="50" t="s">
        <v>5</v>
      </c>
    </row>
    <row r="11" spans="2:5" ht="15.75" thickTop="1" x14ac:dyDescent="0.25">
      <c r="B11" s="73" t="s">
        <v>96</v>
      </c>
      <c r="C11" s="74"/>
      <c r="D11" s="45">
        <v>3000</v>
      </c>
      <c r="E11" s="46">
        <v>20</v>
      </c>
    </row>
    <row r="12" spans="2:5" x14ac:dyDescent="0.25">
      <c r="B12" s="77" t="s">
        <v>97</v>
      </c>
      <c r="C12" s="78"/>
      <c r="D12" s="79">
        <v>12</v>
      </c>
      <c r="E12" s="80"/>
    </row>
    <row r="13" spans="2:5" x14ac:dyDescent="0.25">
      <c r="B13" s="77" t="s">
        <v>98</v>
      </c>
      <c r="C13" s="78"/>
      <c r="D13" s="79">
        <v>45</v>
      </c>
      <c r="E13" s="80"/>
    </row>
    <row r="14" spans="2:5" x14ac:dyDescent="0.25">
      <c r="B14" s="77" t="s">
        <v>99</v>
      </c>
      <c r="C14" s="78"/>
      <c r="D14" s="79">
        <v>15</v>
      </c>
      <c r="E14" s="80"/>
    </row>
    <row r="15" spans="2:5" ht="15.75" thickBot="1" x14ac:dyDescent="0.3">
      <c r="B15" s="75" t="s">
        <v>100</v>
      </c>
      <c r="C15" s="76"/>
      <c r="D15" s="86">
        <v>20</v>
      </c>
      <c r="E15" s="87"/>
    </row>
    <row r="16" spans="2:5" ht="15.75" thickTop="1" x14ac:dyDescent="0.25">
      <c r="B16" s="111" t="s">
        <v>101</v>
      </c>
      <c r="C16" s="112"/>
      <c r="D16" s="113">
        <v>12</v>
      </c>
      <c r="E16" s="114"/>
    </row>
    <row r="17" spans="2:5" x14ac:dyDescent="0.25">
      <c r="B17" s="77" t="s">
        <v>158</v>
      </c>
      <c r="C17" s="78"/>
      <c r="D17" s="79">
        <v>20</v>
      </c>
      <c r="E17" s="80"/>
    </row>
    <row r="18" spans="2:5" x14ac:dyDescent="0.25">
      <c r="B18" s="77" t="s">
        <v>102</v>
      </c>
      <c r="C18" s="78"/>
      <c r="D18" s="79">
        <v>15</v>
      </c>
      <c r="E18" s="80"/>
    </row>
    <row r="19" spans="2:5" ht="15.75" thickBot="1" x14ac:dyDescent="0.3">
      <c r="B19" s="75" t="s">
        <v>103</v>
      </c>
      <c r="C19" s="76"/>
      <c r="D19" s="47">
        <v>1</v>
      </c>
      <c r="E19" s="48">
        <v>1</v>
      </c>
    </row>
    <row r="20" spans="2:5" ht="20.25" thickTop="1" thickBot="1" x14ac:dyDescent="0.35">
      <c r="B20" s="100" t="s">
        <v>82</v>
      </c>
      <c r="C20" s="101"/>
      <c r="D20" s="101"/>
      <c r="E20" s="102"/>
    </row>
    <row r="21" spans="2:5" ht="15.75" thickTop="1" x14ac:dyDescent="0.25">
      <c r="B21" s="73" t="s">
        <v>83</v>
      </c>
      <c r="C21" s="74"/>
      <c r="D21" s="43">
        <f>IF($D$8="Local",VLOOKUP($D$7,'RUC Data'!S22:T27,2,FALSE),VLOOKUP($D$7,'RUC Data'!S22:U27,3,FALSE))</f>
        <v>29.990132092307693</v>
      </c>
      <c r="E21" s="44">
        <f>VLOOKUP($D$7,'RUC Data'!S22:V27,4,FALSE)</f>
        <v>35.75826</v>
      </c>
    </row>
    <row r="22" spans="2:5" x14ac:dyDescent="0.25">
      <c r="B22" s="77" t="s">
        <v>109</v>
      </c>
      <c r="C22" s="78"/>
      <c r="D22" s="105">
        <f>D12/D13*60</f>
        <v>16</v>
      </c>
      <c r="E22" s="106"/>
    </row>
    <row r="23" spans="2:5" x14ac:dyDescent="0.25">
      <c r="B23" s="77" t="s">
        <v>108</v>
      </c>
      <c r="C23" s="78"/>
      <c r="D23" s="105">
        <f>D12/D14*60</f>
        <v>48</v>
      </c>
      <c r="E23" s="106"/>
    </row>
    <row r="24" spans="2:5" x14ac:dyDescent="0.25">
      <c r="B24" s="77" t="s">
        <v>107</v>
      </c>
      <c r="C24" s="78"/>
      <c r="D24" s="105">
        <f>D23-D22</f>
        <v>32</v>
      </c>
      <c r="E24" s="106"/>
    </row>
    <row r="25" spans="2:5" x14ac:dyDescent="0.25">
      <c r="B25" s="109" t="s">
        <v>114</v>
      </c>
      <c r="C25" s="110"/>
      <c r="D25" s="105">
        <f>D24+D15</f>
        <v>52</v>
      </c>
      <c r="E25" s="106"/>
    </row>
    <row r="26" spans="2:5" x14ac:dyDescent="0.25">
      <c r="B26" s="77" t="s">
        <v>90</v>
      </c>
      <c r="C26" s="78"/>
      <c r="D26" s="12">
        <f>D21*D25/60</f>
        <v>25.991447813333334</v>
      </c>
      <c r="E26" s="13">
        <f>E21*D25/60</f>
        <v>30.990492</v>
      </c>
    </row>
    <row r="27" spans="2:5" ht="15.75" thickBot="1" x14ac:dyDescent="0.3">
      <c r="B27" s="71" t="s">
        <v>110</v>
      </c>
      <c r="C27" s="72"/>
      <c r="D27" s="51">
        <f>D11*(1-D19)*D26</f>
        <v>0</v>
      </c>
      <c r="E27" s="52">
        <f>E11*(1-E19)*E26</f>
        <v>0</v>
      </c>
    </row>
    <row r="28" spans="2:5" ht="15.75" thickTop="1" x14ac:dyDescent="0.25">
      <c r="B28" s="73" t="s">
        <v>104</v>
      </c>
      <c r="C28" s="74"/>
      <c r="D28" s="107">
        <f>D16/D13*60</f>
        <v>16</v>
      </c>
      <c r="E28" s="108"/>
    </row>
    <row r="29" spans="2:5" x14ac:dyDescent="0.25">
      <c r="B29" s="77" t="s">
        <v>105</v>
      </c>
      <c r="C29" s="78"/>
      <c r="D29" s="105">
        <f>D17/D18*60</f>
        <v>80</v>
      </c>
      <c r="E29" s="106"/>
    </row>
    <row r="30" spans="2:5" x14ac:dyDescent="0.25">
      <c r="B30" s="77" t="s">
        <v>106</v>
      </c>
      <c r="C30" s="78"/>
      <c r="D30" s="105">
        <f>D29-D28</f>
        <v>64</v>
      </c>
      <c r="E30" s="106"/>
    </row>
    <row r="31" spans="2:5" x14ac:dyDescent="0.25">
      <c r="B31" s="77" t="s">
        <v>91</v>
      </c>
      <c r="C31" s="78"/>
      <c r="D31" s="12">
        <f>D21*D30/60</f>
        <v>31.989474231794873</v>
      </c>
      <c r="E31" s="13">
        <f>E21*D30/60</f>
        <v>38.142144000000002</v>
      </c>
    </row>
    <row r="32" spans="2:5" ht="15.75" thickBot="1" x14ac:dyDescent="0.3">
      <c r="B32" s="71" t="s">
        <v>111</v>
      </c>
      <c r="C32" s="72"/>
      <c r="D32" s="51">
        <f>D11*D19*D31</f>
        <v>95968.422695384623</v>
      </c>
      <c r="E32" s="53">
        <f>E11*E19*E31</f>
        <v>762.84288000000004</v>
      </c>
    </row>
    <row r="33" spans="2:5" ht="15.75" thickTop="1" x14ac:dyDescent="0.25">
      <c r="B33" s="73" t="s">
        <v>92</v>
      </c>
      <c r="C33" s="74"/>
      <c r="D33" s="43">
        <f>VLOOKUP(D7,'RUC Data'!S22:W27,5,FALSE)</f>
        <v>0.2767</v>
      </c>
      <c r="E33" s="44">
        <f>VLOOKUP(D7,'RUC Data'!S22:X27,6,FALSE)</f>
        <v>0.88200000000000001</v>
      </c>
    </row>
    <row r="34" spans="2:5" x14ac:dyDescent="0.25">
      <c r="B34" s="77" t="s">
        <v>93</v>
      </c>
      <c r="C34" s="78"/>
      <c r="D34" s="9">
        <f>D11*D19*(D17-D16)</f>
        <v>24000</v>
      </c>
      <c r="E34" s="10">
        <f>E11*E19*(D17-D16)</f>
        <v>160</v>
      </c>
    </row>
    <row r="35" spans="2:5" ht="15.75" thickBot="1" x14ac:dyDescent="0.3">
      <c r="B35" s="75" t="s">
        <v>116</v>
      </c>
      <c r="C35" s="76"/>
      <c r="D35" s="51">
        <f>D33*D34</f>
        <v>6640.8</v>
      </c>
      <c r="E35" s="53">
        <f>E33*E34</f>
        <v>141.12</v>
      </c>
    </row>
    <row r="36" spans="2:5" ht="20.25" thickTop="1" thickBot="1" x14ac:dyDescent="0.35">
      <c r="B36" s="100" t="s">
        <v>84</v>
      </c>
      <c r="C36" s="101"/>
      <c r="D36" s="101"/>
      <c r="E36" s="102"/>
    </row>
    <row r="37" spans="2:5" ht="16.5" thickTop="1" thickBot="1" x14ac:dyDescent="0.3">
      <c r="B37" s="98" t="s">
        <v>161</v>
      </c>
      <c r="C37" s="99"/>
      <c r="D37" s="103">
        <f>SUM(D27,E27,D32,E32,D35,E35)</f>
        <v>103513.18557538462</v>
      </c>
      <c r="E37" s="104"/>
    </row>
    <row r="38" spans="2:5" ht="15.75" thickTop="1" x14ac:dyDescent="0.25"/>
  </sheetData>
  <mergeCells count="54">
    <mergeCell ref="B16:C16"/>
    <mergeCell ref="D16:E16"/>
    <mergeCell ref="D22:E22"/>
    <mergeCell ref="D23:E23"/>
    <mergeCell ref="D24:E24"/>
    <mergeCell ref="B24:C24"/>
    <mergeCell ref="B17:C17"/>
    <mergeCell ref="B18:C18"/>
    <mergeCell ref="D18:E18"/>
    <mergeCell ref="B19:C19"/>
    <mergeCell ref="B20:E20"/>
    <mergeCell ref="D17:E17"/>
    <mergeCell ref="B21:C21"/>
    <mergeCell ref="B22:C22"/>
    <mergeCell ref="B23:C23"/>
    <mergeCell ref="B35:C35"/>
    <mergeCell ref="B37:C37"/>
    <mergeCell ref="B36:E36"/>
    <mergeCell ref="D37:E37"/>
    <mergeCell ref="D25:E25"/>
    <mergeCell ref="B29:C29"/>
    <mergeCell ref="B28:C28"/>
    <mergeCell ref="B26:C26"/>
    <mergeCell ref="D28:E28"/>
    <mergeCell ref="D29:E29"/>
    <mergeCell ref="B27:C27"/>
    <mergeCell ref="B25:C25"/>
    <mergeCell ref="B34:C34"/>
    <mergeCell ref="B30:C30"/>
    <mergeCell ref="D30:E30"/>
    <mergeCell ref="B31:C31"/>
    <mergeCell ref="B14:C14"/>
    <mergeCell ref="B2:E2"/>
    <mergeCell ref="B4:C4"/>
    <mergeCell ref="D5:E6"/>
    <mergeCell ref="D4:E4"/>
    <mergeCell ref="B5:C6"/>
    <mergeCell ref="B3:E3"/>
    <mergeCell ref="B32:C32"/>
    <mergeCell ref="B33:C33"/>
    <mergeCell ref="B15:C15"/>
    <mergeCell ref="B7:C7"/>
    <mergeCell ref="D7:E7"/>
    <mergeCell ref="B8:C8"/>
    <mergeCell ref="D8:E8"/>
    <mergeCell ref="B9:E9"/>
    <mergeCell ref="B10:C10"/>
    <mergeCell ref="D14:E14"/>
    <mergeCell ref="D13:E13"/>
    <mergeCell ref="D12:E12"/>
    <mergeCell ref="D15:E15"/>
    <mergeCell ref="B11:C11"/>
    <mergeCell ref="B12:C12"/>
    <mergeCell ref="B13:C13"/>
  </mergeCells>
  <dataValidations count="6">
    <dataValidation type="whole" allowBlank="1" showInputMessage="1" showErrorMessage="1" promptTitle="Input Workzone Speed" prompt="Enter posted construction speed or pilot car speed" sqref="D14" xr:uid="{00000000-0002-0000-0000-000000000000}">
      <formula1>0</formula1>
      <formula2>60</formula2>
    </dataValidation>
    <dataValidation allowBlank="1" showInputMessage="1" showErrorMessage="1" promptTitle="Input Stopped Time" prompt="Average time vehicles are stopped at flaggers" sqref="E15 D15" xr:uid="{00000000-0002-0000-0000-000001000000}"/>
    <dataValidation allowBlank="1" showInputMessage="1" showErrorMessage="1" promptTitle="Input Length" prompt="Normal Route Length is measured from the beginning to the end of the detour along the normal route (through the workzone)_x000a_" sqref="D16:E16" xr:uid="{00000000-0002-0000-0000-000002000000}"/>
    <dataValidation allowBlank="1" showInputMessage="1" showErrorMessage="1" promptTitle="Input Average Speed" prompt="Use Posted Speed along Detour.  Calculate Average Speed if Posted Speed varies." sqref="D18:E18" xr:uid="{00000000-0002-0000-0000-000003000000}"/>
    <dataValidation type="decimal" allowBlank="1" showInputMessage="1" showErrorMessage="1" promptTitle="Percentage" prompt="Input percentage as a decimal from 0.00 to 1.00" sqref="D19 E19" xr:uid="{00000000-0002-0000-0000-000004000000}">
      <formula1>0</formula1>
      <formula2>1</formula2>
    </dataValidation>
    <dataValidation allowBlank="1" showInputMessage="1" showErrorMessage="1" promptTitle="Length of Detour" prompt="The detour route should equal the normal route, in cases where traffic follows the original alignment." sqref="D17:E17" xr:uid="{00000000-0002-0000-0000-000005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Route Type" prompt="Select based on the majority of trips using this route.  Use Park for NPS projects." xr:uid="{00000000-0002-0000-0000-000006000000}">
          <x14:formula1>
            <xm:f>'RUC Data'!$T$21:$U$21</xm:f>
          </x14:formula1>
          <xm:sqref>D8:E8</xm:sqref>
        </x14:dataValidation>
        <x14:dataValidation type="list" allowBlank="1" showInputMessage="1" showErrorMessage="1" promptTitle="Select Project Year" prompt="Choose Fiscal Year of Advertisement" xr:uid="{00000000-0002-0000-0000-000007000000}">
          <x14:formula1>
            <xm:f>'RUC Data'!$S$22:$S$27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70"/>
  <sheetViews>
    <sheetView tabSelected="1" topLeftCell="B1" zoomScale="90" zoomScaleNormal="90" zoomScaleSheetLayoutView="100" workbookViewId="0">
      <selection activeCell="Z13" sqref="Z13"/>
    </sheetView>
  </sheetViews>
  <sheetFormatPr defaultRowHeight="15" x14ac:dyDescent="0.25"/>
  <cols>
    <col min="2" max="2" width="10.42578125" customWidth="1"/>
    <col min="4" max="4" width="11" customWidth="1"/>
    <col min="9" max="9" width="11.85546875" customWidth="1"/>
    <col min="22" max="22" width="10" customWidth="1"/>
    <col min="25" max="25" width="11.140625" customWidth="1"/>
    <col min="29" max="29" width="9.7109375" customWidth="1"/>
  </cols>
  <sheetData>
    <row r="2" spans="2:26" ht="21" x14ac:dyDescent="0.35">
      <c r="B2" s="23" t="s">
        <v>19</v>
      </c>
      <c r="S2" s="23" t="s">
        <v>55</v>
      </c>
    </row>
    <row r="4" spans="2:26" x14ac:dyDescent="0.25">
      <c r="B4" s="26" t="s">
        <v>54</v>
      </c>
      <c r="F4" s="25"/>
      <c r="G4" t="s">
        <v>49</v>
      </c>
      <c r="S4" s="115" t="s">
        <v>171</v>
      </c>
      <c r="T4" s="115"/>
      <c r="U4" s="115"/>
      <c r="V4" s="115"/>
      <c r="W4" s="115"/>
      <c r="X4" s="115"/>
      <c r="Y4" s="115"/>
      <c r="Z4" s="115"/>
    </row>
    <row r="5" spans="2:26" ht="15.75" thickBot="1" x14ac:dyDescent="0.3">
      <c r="T5" t="s">
        <v>57</v>
      </c>
      <c r="W5" s="28">
        <v>0.1799</v>
      </c>
      <c r="Y5" t="s">
        <v>22</v>
      </c>
      <c r="Z5" t="s">
        <v>180</v>
      </c>
    </row>
    <row r="6" spans="2:26" ht="15.75" thickBot="1" x14ac:dyDescent="0.3">
      <c r="B6" t="s">
        <v>20</v>
      </c>
      <c r="F6" s="19">
        <v>70784</v>
      </c>
      <c r="H6" t="s">
        <v>22</v>
      </c>
      <c r="I6" t="s">
        <v>172</v>
      </c>
      <c r="T6" t="s">
        <v>58</v>
      </c>
      <c r="W6" s="28">
        <v>9.6799999999999997E-2</v>
      </c>
      <c r="Y6" t="s">
        <v>21</v>
      </c>
      <c r="Z6" s="22" t="s">
        <v>179</v>
      </c>
    </row>
    <row r="7" spans="2:26" ht="15.75" thickBot="1" x14ac:dyDescent="0.3">
      <c r="B7" s="64">
        <f>I7</f>
        <v>44805</v>
      </c>
      <c r="I7" s="64">
        <v>44805</v>
      </c>
      <c r="J7" t="s">
        <v>173</v>
      </c>
      <c r="V7" t="s">
        <v>59</v>
      </c>
      <c r="W7" s="29">
        <f>W5+W6</f>
        <v>0.2767</v>
      </c>
      <c r="X7" t="s">
        <v>62</v>
      </c>
    </row>
    <row r="8" spans="2:26" x14ac:dyDescent="0.25">
      <c r="H8" t="s">
        <v>21</v>
      </c>
      <c r="I8" s="22" t="s">
        <v>174</v>
      </c>
    </row>
    <row r="9" spans="2:26" ht="15.75" thickBot="1" x14ac:dyDescent="0.3"/>
    <row r="10" spans="2:26" ht="15.75" thickBot="1" x14ac:dyDescent="0.3">
      <c r="B10" t="s">
        <v>23</v>
      </c>
      <c r="F10" s="21">
        <v>43.07</v>
      </c>
      <c r="H10" t="s">
        <v>22</v>
      </c>
      <c r="I10" t="s">
        <v>176</v>
      </c>
      <c r="S10" t="s">
        <v>56</v>
      </c>
      <c r="W10" t="s">
        <v>62</v>
      </c>
    </row>
    <row r="11" spans="2:26" x14ac:dyDescent="0.25">
      <c r="B11" t="s">
        <v>53</v>
      </c>
      <c r="I11" s="64">
        <v>45093</v>
      </c>
      <c r="J11" t="s">
        <v>24</v>
      </c>
      <c r="T11" t="s">
        <v>57</v>
      </c>
      <c r="W11" s="28">
        <v>0.64100000000000001</v>
      </c>
      <c r="Y11" t="s">
        <v>22</v>
      </c>
      <c r="Z11" t="s">
        <v>168</v>
      </c>
    </row>
    <row r="12" spans="2:26" x14ac:dyDescent="0.25">
      <c r="B12" s="64">
        <f>I11</f>
        <v>45093</v>
      </c>
      <c r="H12" t="s">
        <v>21</v>
      </c>
      <c r="I12" s="22" t="s">
        <v>175</v>
      </c>
      <c r="T12" t="s">
        <v>60</v>
      </c>
      <c r="W12" s="28">
        <v>0.19600000000000001</v>
      </c>
      <c r="Y12" t="s">
        <v>21</v>
      </c>
      <c r="Z12" s="22" t="s">
        <v>184</v>
      </c>
    </row>
    <row r="13" spans="2:26" ht="15.75" thickBot="1" x14ac:dyDescent="0.3">
      <c r="T13" t="s">
        <v>61</v>
      </c>
      <c r="W13" s="28">
        <v>4.4999999999999998E-2</v>
      </c>
      <c r="Z13" s="22"/>
    </row>
    <row r="14" spans="2:26" ht="15.75" thickBot="1" x14ac:dyDescent="0.3">
      <c r="B14" t="s">
        <v>25</v>
      </c>
      <c r="V14" t="s">
        <v>59</v>
      </c>
      <c r="W14" s="29">
        <f>SUM(W11:W13)</f>
        <v>0.88200000000000001</v>
      </c>
      <c r="X14" t="s">
        <v>62</v>
      </c>
    </row>
    <row r="15" spans="2:26" ht="15.75" thickBot="1" x14ac:dyDescent="0.3">
      <c r="B15" t="s">
        <v>26</v>
      </c>
      <c r="F15" s="21">
        <v>24</v>
      </c>
      <c r="H15" t="s">
        <v>22</v>
      </c>
      <c r="I15" t="s">
        <v>178</v>
      </c>
    </row>
    <row r="16" spans="2:26" ht="15.75" thickBot="1" x14ac:dyDescent="0.3">
      <c r="B16" s="64">
        <f>I16</f>
        <v>44703</v>
      </c>
      <c r="I16" s="64">
        <v>44703</v>
      </c>
    </row>
    <row r="17" spans="2:25" ht="15.75" thickBot="1" x14ac:dyDescent="0.3">
      <c r="B17" t="s">
        <v>27</v>
      </c>
      <c r="F17" s="21">
        <v>19.43</v>
      </c>
      <c r="H17" t="s">
        <v>21</v>
      </c>
      <c r="I17" s="22" t="s">
        <v>177</v>
      </c>
    </row>
    <row r="18" spans="2:25" x14ac:dyDescent="0.25">
      <c r="B18" s="64">
        <f>I16</f>
        <v>44703</v>
      </c>
    </row>
    <row r="19" spans="2:25" ht="14.65" customHeight="1" thickBot="1" x14ac:dyDescent="0.3"/>
    <row r="20" spans="2:25" ht="15.75" thickBot="1" x14ac:dyDescent="0.3">
      <c r="B20" t="s">
        <v>28</v>
      </c>
      <c r="F20" s="21">
        <v>10.78</v>
      </c>
      <c r="H20" t="s">
        <v>22</v>
      </c>
      <c r="I20" t="s">
        <v>176</v>
      </c>
      <c r="S20" s="116" t="s">
        <v>16</v>
      </c>
      <c r="T20" s="118" t="s">
        <v>78</v>
      </c>
      <c r="U20" s="119"/>
      <c r="V20" s="120"/>
      <c r="W20" s="121" t="s">
        <v>77</v>
      </c>
      <c r="X20" s="122"/>
      <c r="Y20" s="126" t="s">
        <v>17</v>
      </c>
    </row>
    <row r="21" spans="2:25" x14ac:dyDescent="0.25">
      <c r="B21" t="s">
        <v>29</v>
      </c>
      <c r="I21" s="64">
        <v>45093</v>
      </c>
      <c r="J21" t="s">
        <v>24</v>
      </c>
      <c r="S21" s="117"/>
      <c r="T21" s="58" t="s">
        <v>79</v>
      </c>
      <c r="U21" s="14" t="s">
        <v>159</v>
      </c>
      <c r="V21" s="37" t="s">
        <v>5</v>
      </c>
      <c r="W21" s="40" t="s">
        <v>4</v>
      </c>
      <c r="X21" s="36" t="s">
        <v>5</v>
      </c>
      <c r="Y21" s="127"/>
    </row>
    <row r="22" spans="2:25" ht="15.75" thickBot="1" x14ac:dyDescent="0.3">
      <c r="B22" s="64">
        <f>I21</f>
        <v>45093</v>
      </c>
      <c r="H22" t="s">
        <v>21</v>
      </c>
      <c r="I22" s="22" t="s">
        <v>175</v>
      </c>
      <c r="S22" s="59">
        <v>2023</v>
      </c>
      <c r="T22" s="62">
        <f>E55</f>
        <v>29.990132092307693</v>
      </c>
      <c r="U22" s="60">
        <f>E59</f>
        <v>54.702425938461538</v>
      </c>
      <c r="V22" s="61">
        <f>E70</f>
        <v>35.75826</v>
      </c>
      <c r="W22" s="69">
        <f>W7</f>
        <v>0.2767</v>
      </c>
      <c r="X22" s="62">
        <f>W14</f>
        <v>0.88200000000000001</v>
      </c>
      <c r="Y22" s="128"/>
    </row>
    <row r="23" spans="2:25" ht="15" customHeight="1" thickTop="1" x14ac:dyDescent="0.25">
      <c r="S23" s="15">
        <v>2023</v>
      </c>
      <c r="T23" s="16">
        <f t="shared" ref="T23" si="0">T22*0.03+T22</f>
        <v>30.889836055076923</v>
      </c>
      <c r="U23" s="16">
        <f t="shared" ref="U23:V28" si="1">U22*0.03+U22</f>
        <v>56.343498716615386</v>
      </c>
      <c r="V23" s="38">
        <f t="shared" si="1"/>
        <v>36.831007800000002</v>
      </c>
      <c r="W23" s="41">
        <f t="shared" ref="W23:X23" si="2">W22*0.03+W22</f>
        <v>0.285001</v>
      </c>
      <c r="X23" s="16">
        <f t="shared" si="2"/>
        <v>0.90846000000000005</v>
      </c>
      <c r="Y23" s="123" t="s">
        <v>18</v>
      </c>
    </row>
    <row r="24" spans="2:25" ht="15.75" customHeight="1" x14ac:dyDescent="0.25">
      <c r="S24" s="15">
        <v>2024</v>
      </c>
      <c r="T24" s="16">
        <f t="shared" ref="T24" si="3">T23*0.03+T23</f>
        <v>31.816531136729232</v>
      </c>
      <c r="U24" s="16">
        <f t="shared" si="1"/>
        <v>58.033803678113848</v>
      </c>
      <c r="V24" s="38">
        <f t="shared" si="1"/>
        <v>37.935938034000003</v>
      </c>
      <c r="W24" s="41">
        <f t="shared" ref="W24:X24" si="4">W23*0.03+W23</f>
        <v>0.29355102999999999</v>
      </c>
      <c r="X24" s="16">
        <f t="shared" si="4"/>
        <v>0.93571380000000004</v>
      </c>
      <c r="Y24" s="124"/>
    </row>
    <row r="25" spans="2:25" x14ac:dyDescent="0.25">
      <c r="B25" s="26" t="s">
        <v>30</v>
      </c>
      <c r="S25" s="15">
        <v>2025</v>
      </c>
      <c r="T25" s="16">
        <f t="shared" ref="T25" si="5">T24*0.03+T24</f>
        <v>32.77102707083111</v>
      </c>
      <c r="U25" s="16">
        <f t="shared" si="1"/>
        <v>59.774817788457263</v>
      </c>
      <c r="V25" s="38">
        <f t="shared" si="1"/>
        <v>39.074016175020006</v>
      </c>
      <c r="W25" s="41">
        <f t="shared" ref="W25:X25" si="6">W24*0.03+W24</f>
        <v>0.30235756089999999</v>
      </c>
      <c r="X25" s="16">
        <f t="shared" si="6"/>
        <v>0.96378521400000006</v>
      </c>
      <c r="Y25" s="124"/>
    </row>
    <row r="26" spans="2:25" x14ac:dyDescent="0.25">
      <c r="S26" s="15">
        <v>2026</v>
      </c>
      <c r="T26" s="16">
        <f t="shared" ref="T26" si="7">T25*0.03+T25</f>
        <v>33.754157882956044</v>
      </c>
      <c r="U26" s="16">
        <f t="shared" si="1"/>
        <v>61.568062322110983</v>
      </c>
      <c r="V26" s="38">
        <f t="shared" si="1"/>
        <v>40.246236660270604</v>
      </c>
      <c r="W26" s="41">
        <f t="shared" ref="W26:X26" si="8">W25*0.03+W25</f>
        <v>0.31142828772699999</v>
      </c>
      <c r="X26" s="16">
        <f t="shared" si="8"/>
        <v>0.9926987704200001</v>
      </c>
      <c r="Y26" s="124"/>
    </row>
    <row r="27" spans="2:25" x14ac:dyDescent="0.25">
      <c r="B27" t="s">
        <v>31</v>
      </c>
      <c r="E27" s="9">
        <v>1.67</v>
      </c>
      <c r="G27" t="s">
        <v>69</v>
      </c>
      <c r="S27" s="65">
        <v>2027</v>
      </c>
      <c r="T27" s="66">
        <f t="shared" ref="T27:T28" si="9">T26*0.03+T26</f>
        <v>34.766782619444726</v>
      </c>
      <c r="U27" s="66">
        <f t="shared" si="1"/>
        <v>63.415104191774311</v>
      </c>
      <c r="V27" s="67">
        <f t="shared" si="1"/>
        <v>41.45362376007872</v>
      </c>
      <c r="W27" s="68">
        <f t="shared" ref="W27:X28" si="10">W26*0.03+W26</f>
        <v>0.32077113635880999</v>
      </c>
      <c r="X27" s="66">
        <f t="shared" si="10"/>
        <v>1.0224797335326001</v>
      </c>
      <c r="Y27" s="124"/>
    </row>
    <row r="28" spans="2:25" ht="15.75" thickBot="1" x14ac:dyDescent="0.3">
      <c r="B28" t="s">
        <v>32</v>
      </c>
      <c r="E28" s="9">
        <v>2.2999999999999998</v>
      </c>
      <c r="G28" t="s">
        <v>70</v>
      </c>
      <c r="S28" s="17">
        <v>2028</v>
      </c>
      <c r="T28" s="18">
        <f t="shared" si="9"/>
        <v>35.80978609802807</v>
      </c>
      <c r="U28" s="18">
        <f t="shared" si="1"/>
        <v>65.317557317527545</v>
      </c>
      <c r="V28" s="39">
        <f t="shared" si="1"/>
        <v>42.697232472881083</v>
      </c>
      <c r="W28" s="42">
        <f t="shared" si="10"/>
        <v>0.33039427044957431</v>
      </c>
      <c r="X28" s="18">
        <f t="shared" si="10"/>
        <v>1.0531541255385781</v>
      </c>
      <c r="Y28" s="125"/>
    </row>
    <row r="29" spans="2:25" x14ac:dyDescent="0.25">
      <c r="B29" t="s">
        <v>33</v>
      </c>
      <c r="E29" s="9">
        <v>1.24</v>
      </c>
      <c r="G29" t="s">
        <v>71</v>
      </c>
    </row>
    <row r="30" spans="2:25" x14ac:dyDescent="0.25">
      <c r="B30" t="s">
        <v>34</v>
      </c>
      <c r="E30" s="9">
        <v>1.0249999999999999</v>
      </c>
      <c r="G30" t="s">
        <v>36</v>
      </c>
      <c r="S30" t="s">
        <v>80</v>
      </c>
    </row>
    <row r="31" spans="2:25" x14ac:dyDescent="0.25">
      <c r="B31" t="s">
        <v>35</v>
      </c>
      <c r="E31" s="9">
        <v>1.1200000000000001</v>
      </c>
      <c r="G31" t="s">
        <v>37</v>
      </c>
    </row>
    <row r="32" spans="2:25" x14ac:dyDescent="0.25">
      <c r="G32" s="70">
        <v>40878</v>
      </c>
      <c r="X32" s="32" t="s">
        <v>167</v>
      </c>
      <c r="Y32" s="63">
        <v>45134</v>
      </c>
    </row>
    <row r="33" spans="2:24" x14ac:dyDescent="0.25">
      <c r="B33" t="s">
        <v>68</v>
      </c>
      <c r="D33" t="s">
        <v>64</v>
      </c>
      <c r="E33" s="34">
        <v>0.93700000000000006</v>
      </c>
      <c r="G33" t="s">
        <v>38</v>
      </c>
      <c r="X33" t="s">
        <v>169</v>
      </c>
    </row>
    <row r="34" spans="2:24" x14ac:dyDescent="0.25">
      <c r="B34" t="s">
        <v>51</v>
      </c>
      <c r="D34" t="s">
        <v>65</v>
      </c>
      <c r="E34" s="34">
        <v>6.3E-2</v>
      </c>
      <c r="G34" t="s">
        <v>50</v>
      </c>
      <c r="X34" s="22" t="s">
        <v>170</v>
      </c>
    </row>
    <row r="35" spans="2:24" x14ac:dyDescent="0.25">
      <c r="E35" s="30"/>
    </row>
    <row r="36" spans="2:24" x14ac:dyDescent="0.25">
      <c r="B36" t="s">
        <v>72</v>
      </c>
      <c r="D36" t="s">
        <v>73</v>
      </c>
      <c r="E36" s="35">
        <v>0.4</v>
      </c>
    </row>
    <row r="37" spans="2:24" x14ac:dyDescent="0.25">
      <c r="D37" t="s">
        <v>74</v>
      </c>
      <c r="E37" s="35">
        <v>0.6</v>
      </c>
    </row>
    <row r="39" spans="2:24" x14ac:dyDescent="0.25">
      <c r="B39" s="26" t="s">
        <v>48</v>
      </c>
    </row>
    <row r="41" spans="2:24" x14ac:dyDescent="0.25">
      <c r="B41" t="s">
        <v>39</v>
      </c>
      <c r="E41" t="s">
        <v>40</v>
      </c>
    </row>
    <row r="42" spans="2:24" ht="15.75" thickBot="1" x14ac:dyDescent="0.3">
      <c r="E42" s="24" t="s">
        <v>181</v>
      </c>
    </row>
    <row r="43" spans="2:24" ht="15.75" thickBot="1" x14ac:dyDescent="0.3">
      <c r="E43" s="27">
        <f>E27*0.5*F6/2080</f>
        <v>28.415692307692307</v>
      </c>
      <c r="F43" t="s">
        <v>41</v>
      </c>
    </row>
    <row r="45" spans="2:24" x14ac:dyDescent="0.25">
      <c r="B45" t="s">
        <v>42</v>
      </c>
      <c r="E45" t="s">
        <v>43</v>
      </c>
    </row>
    <row r="46" spans="2:24" ht="15.75" thickBot="1" x14ac:dyDescent="0.3">
      <c r="E46" s="24" t="s">
        <v>182</v>
      </c>
    </row>
    <row r="47" spans="2:24" ht="15.75" thickBot="1" x14ac:dyDescent="0.3">
      <c r="E47" s="27">
        <f>E28*0.7*F6/2080</f>
        <v>54.789538461538456</v>
      </c>
      <c r="F47" t="s">
        <v>41</v>
      </c>
    </row>
    <row r="49" spans="2:6" x14ac:dyDescent="0.25">
      <c r="B49" t="s">
        <v>44</v>
      </c>
      <c r="E49" t="s">
        <v>45</v>
      </c>
    </row>
    <row r="50" spans="2:6" ht="15.75" thickBot="1" x14ac:dyDescent="0.3">
      <c r="E50" s="24" t="s">
        <v>183</v>
      </c>
    </row>
    <row r="51" spans="2:6" ht="15.75" thickBot="1" x14ac:dyDescent="0.3">
      <c r="E51" s="27">
        <f>E29*F10</f>
        <v>53.406799999999997</v>
      </c>
      <c r="F51" t="s">
        <v>41</v>
      </c>
    </row>
    <row r="52" spans="2:6" x14ac:dyDescent="0.25">
      <c r="E52" s="20"/>
    </row>
    <row r="53" spans="2:6" x14ac:dyDescent="0.25">
      <c r="B53" s="32" t="s">
        <v>63</v>
      </c>
      <c r="E53" s="20" t="s">
        <v>67</v>
      </c>
    </row>
    <row r="54" spans="2:6" ht="15.75" thickBot="1" x14ac:dyDescent="0.3">
      <c r="E54" s="31" t="s">
        <v>163</v>
      </c>
    </row>
    <row r="55" spans="2:6" ht="15.75" thickBot="1" x14ac:dyDescent="0.3">
      <c r="E55" s="33">
        <f>E33*E43+E34*E51</f>
        <v>29.990132092307693</v>
      </c>
      <c r="F55" t="s">
        <v>41</v>
      </c>
    </row>
    <row r="56" spans="2:6" x14ac:dyDescent="0.25">
      <c r="E56" s="20"/>
    </row>
    <row r="57" spans="2:6" x14ac:dyDescent="0.25">
      <c r="B57" s="32" t="s">
        <v>160</v>
      </c>
      <c r="E57" s="20" t="s">
        <v>66</v>
      </c>
    </row>
    <row r="58" spans="2:6" ht="15.75" thickBot="1" x14ac:dyDescent="0.3">
      <c r="E58" s="31" t="s">
        <v>164</v>
      </c>
    </row>
    <row r="59" spans="2:6" ht="15.75" thickBot="1" x14ac:dyDescent="0.3">
      <c r="E59" s="33">
        <f>E33*E47+E34*E51</f>
        <v>54.702425938461538</v>
      </c>
      <c r="F59" t="s">
        <v>41</v>
      </c>
    </row>
    <row r="61" spans="2:6" x14ac:dyDescent="0.25">
      <c r="B61" t="s">
        <v>46</v>
      </c>
      <c r="E61" t="s">
        <v>47</v>
      </c>
    </row>
    <row r="62" spans="2:6" ht="15.75" thickBot="1" x14ac:dyDescent="0.3">
      <c r="E62" t="s">
        <v>162</v>
      </c>
    </row>
    <row r="63" spans="2:6" ht="15.75" thickBot="1" x14ac:dyDescent="0.3">
      <c r="E63" s="27">
        <f>E30*(F17+F20)</f>
        <v>30.965249999999997</v>
      </c>
      <c r="F63" t="s">
        <v>41</v>
      </c>
    </row>
    <row r="64" spans="2:6" x14ac:dyDescent="0.25">
      <c r="E64" s="20"/>
    </row>
    <row r="65" spans="2:6" ht="15.75" thickBot="1" x14ac:dyDescent="0.3">
      <c r="E65" t="s">
        <v>165</v>
      </c>
    </row>
    <row r="66" spans="2:6" ht="15.75" thickBot="1" x14ac:dyDescent="0.3">
      <c r="E66" s="27">
        <f>E31*(F15+F20)</f>
        <v>38.953600000000002</v>
      </c>
      <c r="F66" t="s">
        <v>41</v>
      </c>
    </row>
    <row r="67" spans="2:6" x14ac:dyDescent="0.25">
      <c r="E67" s="20"/>
    </row>
    <row r="68" spans="2:6" x14ac:dyDescent="0.25">
      <c r="B68" s="32" t="s">
        <v>76</v>
      </c>
      <c r="E68" t="s">
        <v>75</v>
      </c>
    </row>
    <row r="69" spans="2:6" ht="15.75" thickBot="1" x14ac:dyDescent="0.3">
      <c r="E69" s="24" t="s">
        <v>166</v>
      </c>
    </row>
    <row r="70" spans="2:6" ht="15.75" thickBot="1" x14ac:dyDescent="0.3">
      <c r="E70" s="33">
        <f>E36*E63+E37*E66</f>
        <v>35.75826</v>
      </c>
    </row>
  </sheetData>
  <mergeCells count="6">
    <mergeCell ref="S4:Z4"/>
    <mergeCell ref="S20:S21"/>
    <mergeCell ref="T20:V20"/>
    <mergeCell ref="W20:X20"/>
    <mergeCell ref="Y23:Y28"/>
    <mergeCell ref="Y20:Y22"/>
  </mergeCells>
  <hyperlinks>
    <hyperlink ref="I12" r:id="rId1" xr:uid="{00000000-0004-0000-0100-000000000000}"/>
    <hyperlink ref="I17" r:id="rId2" xr:uid="{00000000-0004-0000-0100-000001000000}"/>
    <hyperlink ref="Z6" r:id="rId3" xr:uid="{00000000-0004-0000-0100-000003000000}"/>
    <hyperlink ref="I8" r:id="rId4" xr:uid="{00000000-0004-0000-0100-000004000000}"/>
    <hyperlink ref="X34" r:id="rId5" xr:uid="{00000000-0004-0000-0100-000005000000}"/>
    <hyperlink ref="Z12" r:id="rId6" xr:uid="{3F4716FB-674E-482E-AB30-A0EDCE4346C4}"/>
    <hyperlink ref="I22" r:id="rId7" xr:uid="{EF8E10AA-992D-4F78-825D-937580A9DC16}"/>
  </hyperlinks>
  <pageMargins left="0.7" right="0.7" top="0.75" bottom="0.75" header="0.3" footer="0.3"/>
  <pageSetup paperSize="3" orientation="landscape" r:id="rId8"/>
  <rowBreaks count="1" manualBreakCount="1">
    <brk id="38" max="31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8"/>
  <sheetViews>
    <sheetView topLeftCell="A16" workbookViewId="0">
      <selection activeCell="B38" sqref="B38:E38"/>
    </sheetView>
  </sheetViews>
  <sheetFormatPr defaultRowHeight="15" x14ac:dyDescent="0.25"/>
  <cols>
    <col min="2" max="2" width="20.7109375" customWidth="1"/>
    <col min="3" max="3" width="22.5703125" customWidth="1"/>
    <col min="4" max="5" width="18.5703125" customWidth="1"/>
    <col min="8" max="8" width="17.85546875" customWidth="1"/>
    <col min="9" max="9" width="11.85546875" bestFit="1" customWidth="1"/>
  </cols>
  <sheetData>
    <row r="1" spans="2:9" ht="15.75" thickBot="1" x14ac:dyDescent="0.3"/>
    <row r="2" spans="2:9" ht="24" thickBot="1" x14ac:dyDescent="0.4">
      <c r="B2" s="88" t="s">
        <v>86</v>
      </c>
      <c r="C2" s="89"/>
      <c r="D2" s="89"/>
      <c r="E2" s="90"/>
    </row>
    <row r="3" spans="2:9" ht="19.5" thickTop="1" x14ac:dyDescent="0.3">
      <c r="B3" s="95" t="s">
        <v>81</v>
      </c>
      <c r="C3" s="96"/>
      <c r="D3" s="96"/>
      <c r="E3" s="97"/>
    </row>
    <row r="4" spans="2:9" x14ac:dyDescent="0.25">
      <c r="B4" s="77" t="s">
        <v>87</v>
      </c>
      <c r="C4" s="78"/>
      <c r="D4" s="91" t="s">
        <v>112</v>
      </c>
      <c r="E4" s="92"/>
      <c r="H4" t="s">
        <v>121</v>
      </c>
      <c r="I4" s="57" t="e">
        <f>#REF!</f>
        <v>#REF!</v>
      </c>
    </row>
    <row r="5" spans="2:9" x14ac:dyDescent="0.25">
      <c r="B5" s="93" t="s">
        <v>88</v>
      </c>
      <c r="C5" s="94"/>
      <c r="D5" s="91" t="s">
        <v>113</v>
      </c>
      <c r="E5" s="92"/>
      <c r="H5" t="s">
        <v>122</v>
      </c>
      <c r="I5" s="11">
        <v>4500</v>
      </c>
    </row>
    <row r="6" spans="2:9" x14ac:dyDescent="0.25">
      <c r="B6" s="93"/>
      <c r="C6" s="94"/>
      <c r="D6" s="91"/>
      <c r="E6" s="92"/>
      <c r="H6" t="s">
        <v>123</v>
      </c>
      <c r="I6" s="57" t="e">
        <f>I4+I5</f>
        <v>#REF!</v>
      </c>
    </row>
    <row r="7" spans="2:9" x14ac:dyDescent="0.25">
      <c r="B7" s="77" t="s">
        <v>85</v>
      </c>
      <c r="C7" s="78"/>
      <c r="D7" s="91">
        <v>2021</v>
      </c>
      <c r="E7" s="92"/>
    </row>
    <row r="8" spans="2:9" x14ac:dyDescent="0.25">
      <c r="B8" s="77" t="s">
        <v>95</v>
      </c>
      <c r="C8" s="78"/>
      <c r="D8" s="91" t="s">
        <v>52</v>
      </c>
      <c r="E8" s="92"/>
    </row>
    <row r="9" spans="2:9" ht="19.5" thickBot="1" x14ac:dyDescent="0.35">
      <c r="B9" s="81" t="s">
        <v>89</v>
      </c>
      <c r="C9" s="82"/>
      <c r="D9" s="82"/>
      <c r="E9" s="83"/>
      <c r="H9" t="s">
        <v>118</v>
      </c>
      <c r="I9" s="54">
        <v>30000000</v>
      </c>
    </row>
    <row r="10" spans="2:9" ht="20.25" thickTop="1" thickBot="1" x14ac:dyDescent="0.35">
      <c r="B10" s="84"/>
      <c r="C10" s="85"/>
      <c r="D10" s="49" t="s">
        <v>4</v>
      </c>
      <c r="E10" s="50" t="s">
        <v>5</v>
      </c>
      <c r="H10" t="s">
        <v>119</v>
      </c>
      <c r="I10" s="55">
        <v>0.05</v>
      </c>
    </row>
    <row r="11" spans="2:9" ht="15.75" thickTop="1" x14ac:dyDescent="0.25">
      <c r="B11" s="73" t="s">
        <v>96</v>
      </c>
      <c r="C11" s="74"/>
      <c r="D11" s="45">
        <v>3400</v>
      </c>
      <c r="E11" s="46">
        <v>150</v>
      </c>
      <c r="I11" s="54">
        <f>I9*I10</f>
        <v>1500000</v>
      </c>
    </row>
    <row r="12" spans="2:9" x14ac:dyDescent="0.25">
      <c r="B12" s="77" t="s">
        <v>97</v>
      </c>
      <c r="C12" s="78"/>
      <c r="D12" s="79">
        <v>6.5</v>
      </c>
      <c r="E12" s="80"/>
      <c r="H12" t="s">
        <v>120</v>
      </c>
      <c r="I12" s="56" t="e">
        <f>I11/I6</f>
        <v>#REF!</v>
      </c>
    </row>
    <row r="13" spans="2:9" x14ac:dyDescent="0.25">
      <c r="B13" s="77" t="s">
        <v>98</v>
      </c>
      <c r="C13" s="78"/>
      <c r="D13" s="79">
        <v>40</v>
      </c>
      <c r="E13" s="80"/>
    </row>
    <row r="14" spans="2:9" x14ac:dyDescent="0.25">
      <c r="B14" s="77" t="s">
        <v>99</v>
      </c>
      <c r="C14" s="78"/>
      <c r="D14" s="79">
        <v>15</v>
      </c>
      <c r="E14" s="80"/>
    </row>
    <row r="15" spans="2:9" ht="15.75" thickBot="1" x14ac:dyDescent="0.3">
      <c r="B15" s="75" t="s">
        <v>100</v>
      </c>
      <c r="C15" s="76"/>
      <c r="D15" s="86">
        <v>15</v>
      </c>
      <c r="E15" s="87"/>
    </row>
    <row r="16" spans="2:9" ht="15.75" thickTop="1" x14ac:dyDescent="0.25">
      <c r="B16" s="111" t="s">
        <v>101</v>
      </c>
      <c r="C16" s="112"/>
      <c r="D16" s="113">
        <v>21</v>
      </c>
      <c r="E16" s="114"/>
    </row>
    <row r="17" spans="2:5" x14ac:dyDescent="0.25">
      <c r="B17" s="77" t="s">
        <v>158</v>
      </c>
      <c r="C17" s="78"/>
      <c r="D17" s="79">
        <v>48</v>
      </c>
      <c r="E17" s="80"/>
    </row>
    <row r="18" spans="2:5" x14ac:dyDescent="0.25">
      <c r="B18" s="77" t="s">
        <v>102</v>
      </c>
      <c r="C18" s="78"/>
      <c r="D18" s="79">
        <v>40</v>
      </c>
      <c r="E18" s="80"/>
    </row>
    <row r="19" spans="2:5" ht="15.75" thickBot="1" x14ac:dyDescent="0.3">
      <c r="B19" s="75" t="s">
        <v>103</v>
      </c>
      <c r="C19" s="76"/>
      <c r="D19" s="47">
        <v>0</v>
      </c>
      <c r="E19" s="48">
        <v>0</v>
      </c>
    </row>
    <row r="20" spans="2:5" ht="20.25" thickTop="1" thickBot="1" x14ac:dyDescent="0.35">
      <c r="B20" s="100" t="s">
        <v>82</v>
      </c>
      <c r="C20" s="101"/>
      <c r="D20" s="101"/>
      <c r="E20" s="102"/>
    </row>
    <row r="21" spans="2:5" ht="15.75" thickTop="1" x14ac:dyDescent="0.25">
      <c r="B21" s="73" t="s">
        <v>83</v>
      </c>
      <c r="C21" s="74"/>
      <c r="D21" s="43" t="e">
        <f>IF($D$8="Local",VLOOKUP($D$7,'RUC Data'!S22:T27,2,FALSE),VLOOKUP($D$7,'RUC Data'!S22:U27,3,FALSE))</f>
        <v>#N/A</v>
      </c>
      <c r="E21" s="44" t="e">
        <f>VLOOKUP($D$7,'RUC Data'!S22:V27,4,FALSE)</f>
        <v>#N/A</v>
      </c>
    </row>
    <row r="22" spans="2:5" x14ac:dyDescent="0.25">
      <c r="B22" s="77" t="s">
        <v>109</v>
      </c>
      <c r="C22" s="78"/>
      <c r="D22" s="105">
        <f>D12/D13*60</f>
        <v>9.75</v>
      </c>
      <c r="E22" s="106"/>
    </row>
    <row r="23" spans="2:5" x14ac:dyDescent="0.25">
      <c r="B23" s="77" t="s">
        <v>108</v>
      </c>
      <c r="C23" s="78"/>
      <c r="D23" s="105">
        <f>D12/D14*60</f>
        <v>26</v>
      </c>
      <c r="E23" s="106"/>
    </row>
    <row r="24" spans="2:5" x14ac:dyDescent="0.25">
      <c r="B24" s="77" t="s">
        <v>107</v>
      </c>
      <c r="C24" s="78"/>
      <c r="D24" s="105">
        <f>D23-D22</f>
        <v>16.25</v>
      </c>
      <c r="E24" s="106"/>
    </row>
    <row r="25" spans="2:5" x14ac:dyDescent="0.25">
      <c r="B25" s="109" t="s">
        <v>115</v>
      </c>
      <c r="C25" s="110"/>
      <c r="D25" s="105">
        <f>D24+D15</f>
        <v>31.25</v>
      </c>
      <c r="E25" s="106"/>
    </row>
    <row r="26" spans="2:5" x14ac:dyDescent="0.25">
      <c r="B26" s="77" t="s">
        <v>90</v>
      </c>
      <c r="C26" s="78"/>
      <c r="D26" s="12" t="e">
        <f>D21*D25/60</f>
        <v>#N/A</v>
      </c>
      <c r="E26" s="13" t="e">
        <f>E21*D25/60</f>
        <v>#N/A</v>
      </c>
    </row>
    <row r="27" spans="2:5" ht="15.75" thickBot="1" x14ac:dyDescent="0.3">
      <c r="B27" s="71" t="s">
        <v>110</v>
      </c>
      <c r="C27" s="72"/>
      <c r="D27" s="51" t="e">
        <f>D11*(1-D19)*D26</f>
        <v>#N/A</v>
      </c>
      <c r="E27" s="52" t="e">
        <f>E11*(1-E19)*E26</f>
        <v>#N/A</v>
      </c>
    </row>
    <row r="28" spans="2:5" ht="15.75" thickTop="1" x14ac:dyDescent="0.25">
      <c r="B28" s="73" t="s">
        <v>104</v>
      </c>
      <c r="C28" s="74"/>
      <c r="D28" s="107">
        <f>D16/D13*60</f>
        <v>31.5</v>
      </c>
      <c r="E28" s="108"/>
    </row>
    <row r="29" spans="2:5" x14ac:dyDescent="0.25">
      <c r="B29" s="77" t="s">
        <v>105</v>
      </c>
      <c r="C29" s="78"/>
      <c r="D29" s="105">
        <f>D17/D18*60</f>
        <v>72</v>
      </c>
      <c r="E29" s="106"/>
    </row>
    <row r="30" spans="2:5" x14ac:dyDescent="0.25">
      <c r="B30" s="77" t="s">
        <v>106</v>
      </c>
      <c r="C30" s="78"/>
      <c r="D30" s="105">
        <f>D29-D28</f>
        <v>40.5</v>
      </c>
      <c r="E30" s="106"/>
    </row>
    <row r="31" spans="2:5" x14ac:dyDescent="0.25">
      <c r="B31" s="77" t="s">
        <v>91</v>
      </c>
      <c r="C31" s="78"/>
      <c r="D31" s="12" t="e">
        <f>D21*D30/60</f>
        <v>#N/A</v>
      </c>
      <c r="E31" s="13" t="e">
        <f>E21*D30/60</f>
        <v>#N/A</v>
      </c>
    </row>
    <row r="32" spans="2:5" ht="15.75" thickBot="1" x14ac:dyDescent="0.3">
      <c r="B32" s="71" t="s">
        <v>111</v>
      </c>
      <c r="C32" s="72"/>
      <c r="D32" s="51" t="e">
        <f>D11*D19*D31</f>
        <v>#N/A</v>
      </c>
      <c r="E32" s="53" t="e">
        <f>E11*E19*E31</f>
        <v>#N/A</v>
      </c>
    </row>
    <row r="33" spans="2:5" ht="15.75" thickTop="1" x14ac:dyDescent="0.25">
      <c r="B33" s="73" t="s">
        <v>92</v>
      </c>
      <c r="C33" s="74"/>
      <c r="D33" s="43" t="e">
        <f>VLOOKUP(D7,'RUC Data'!S22:W27,5,FALSE)</f>
        <v>#N/A</v>
      </c>
      <c r="E33" s="44" t="e">
        <f>VLOOKUP(D7,'RUC Data'!S22:X27,6,FALSE)</f>
        <v>#N/A</v>
      </c>
    </row>
    <row r="34" spans="2:5" x14ac:dyDescent="0.25">
      <c r="B34" s="77" t="s">
        <v>93</v>
      </c>
      <c r="C34" s="78"/>
      <c r="D34" s="9">
        <f>D11*D19*(D17-D16)</f>
        <v>0</v>
      </c>
      <c r="E34" s="10">
        <f>E11*E19*(D17-D16)</f>
        <v>0</v>
      </c>
    </row>
    <row r="35" spans="2:5" ht="15.75" thickBot="1" x14ac:dyDescent="0.3">
      <c r="B35" s="75" t="s">
        <v>116</v>
      </c>
      <c r="C35" s="76"/>
      <c r="D35" s="51" t="e">
        <f>D33*D34</f>
        <v>#N/A</v>
      </c>
      <c r="E35" s="53" t="e">
        <f>E33*E34</f>
        <v>#N/A</v>
      </c>
    </row>
    <row r="36" spans="2:5" ht="20.25" thickTop="1" thickBot="1" x14ac:dyDescent="0.35">
      <c r="B36" s="100" t="s">
        <v>84</v>
      </c>
      <c r="C36" s="101"/>
      <c r="D36" s="101"/>
      <c r="E36" s="102"/>
    </row>
    <row r="37" spans="2:5" ht="16.5" thickTop="1" thickBot="1" x14ac:dyDescent="0.3">
      <c r="B37" s="129" t="s">
        <v>94</v>
      </c>
      <c r="C37" s="130"/>
      <c r="D37" s="131" t="e">
        <f>SUM(D27,E27,D32,E32,D35,E35)</f>
        <v>#N/A</v>
      </c>
      <c r="E37" s="132"/>
    </row>
    <row r="38" spans="2:5" ht="15.75" thickTop="1" x14ac:dyDescent="0.25"/>
  </sheetData>
  <mergeCells count="54">
    <mergeCell ref="B37:C37"/>
    <mergeCell ref="D37:E37"/>
    <mergeCell ref="B31:C31"/>
    <mergeCell ref="B32:C32"/>
    <mergeCell ref="B33:C33"/>
    <mergeCell ref="B34:C34"/>
    <mergeCell ref="B35:C35"/>
    <mergeCell ref="B36:E36"/>
    <mergeCell ref="B28:C28"/>
    <mergeCell ref="D28:E28"/>
    <mergeCell ref="B29:C29"/>
    <mergeCell ref="D29:E29"/>
    <mergeCell ref="B30:C30"/>
    <mergeCell ref="D30:E30"/>
    <mergeCell ref="B27:C27"/>
    <mergeCell ref="B25:C25"/>
    <mergeCell ref="D25:E25"/>
    <mergeCell ref="B18:C18"/>
    <mergeCell ref="D18:E18"/>
    <mergeCell ref="B19:C19"/>
    <mergeCell ref="B20:E20"/>
    <mergeCell ref="B21:C21"/>
    <mergeCell ref="B22:C22"/>
    <mergeCell ref="D22:E22"/>
    <mergeCell ref="B23:C23"/>
    <mergeCell ref="D23:E23"/>
    <mergeCell ref="B24:C24"/>
    <mergeCell ref="D24:E24"/>
    <mergeCell ref="B26:C26"/>
    <mergeCell ref="B15:C15"/>
    <mergeCell ref="D15:E15"/>
    <mergeCell ref="B16:C16"/>
    <mergeCell ref="D16:E16"/>
    <mergeCell ref="B17:C17"/>
    <mergeCell ref="D17:E17"/>
    <mergeCell ref="B14:C14"/>
    <mergeCell ref="D14:E14"/>
    <mergeCell ref="B7:C7"/>
    <mergeCell ref="D7:E7"/>
    <mergeCell ref="B8:C8"/>
    <mergeCell ref="D8:E8"/>
    <mergeCell ref="B9:E9"/>
    <mergeCell ref="B10:C10"/>
    <mergeCell ref="B11:C11"/>
    <mergeCell ref="B12:C12"/>
    <mergeCell ref="D12:E12"/>
    <mergeCell ref="B13:C13"/>
    <mergeCell ref="D13:E13"/>
    <mergeCell ref="B2:E2"/>
    <mergeCell ref="B3:E3"/>
    <mergeCell ref="B4:C4"/>
    <mergeCell ref="D4:E4"/>
    <mergeCell ref="B5:C6"/>
    <mergeCell ref="D5:E6"/>
  </mergeCells>
  <dataValidations count="5">
    <dataValidation type="decimal" allowBlank="1" showInputMessage="1" showErrorMessage="1" promptTitle="Percentage" prompt="Input percentage as a decimal from 0.00 to 1.00" sqref="D19:E19" xr:uid="{00000000-0002-0000-0200-000000000000}">
      <formula1>0</formula1>
      <formula2>1</formula2>
    </dataValidation>
    <dataValidation allowBlank="1" showInputMessage="1" showErrorMessage="1" promptTitle="Input Average Speed" prompt="Use Posted Speed along Detour.  Calculate Average Speed if Posted Speed varies." sqref="D18:E18" xr:uid="{00000000-0002-0000-0200-000001000000}"/>
    <dataValidation allowBlank="1" showInputMessage="1" showErrorMessage="1" promptTitle="Input Length" prompt="Normal Route Length is measured from the beginning to the end of the detour along the normal route (through the workzone)_x000a_" sqref="D16:E16" xr:uid="{00000000-0002-0000-0200-000002000000}"/>
    <dataValidation allowBlank="1" showInputMessage="1" showErrorMessage="1" promptTitle="Input Stopped Time" prompt="Average time vehicles are stopped at flaggers" sqref="D15:E15" xr:uid="{00000000-0002-0000-0200-000003000000}"/>
    <dataValidation type="whole" allowBlank="1" showInputMessage="1" showErrorMessage="1" promptTitle="Input Workzone Speed" prompt="Enter posted construction speed or pilot car speed" sqref="D14" xr:uid="{00000000-0002-0000-0200-000004000000}">
      <formula1>0</formula1>
      <formula2>60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Route Type" prompt="Select based on the majority of trips using this route.  Use Intercity for NPS projects." xr:uid="{00000000-0002-0000-0200-000005000000}">
          <x14:formula1>
            <xm:f>'RUC Data'!$T$21:$U$21</xm:f>
          </x14:formula1>
          <xm:sqref>D8:E8</xm:sqref>
        </x14:dataValidation>
        <x14:dataValidation type="list" allowBlank="1" showInputMessage="1" showErrorMessage="1" promptTitle="Select Project Year" prompt="Choose Fiscal Year of Advertisement" xr:uid="{00000000-0002-0000-0200-000006000000}">
          <x14:formula1>
            <xm:f>'RUC Data'!$S$22:$S$27</xm:f>
          </x14:formula1>
          <xm:sqref>D7:E7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38"/>
  <sheetViews>
    <sheetView topLeftCell="A19" workbookViewId="0">
      <selection activeCell="B38" sqref="B38:E38"/>
    </sheetView>
  </sheetViews>
  <sheetFormatPr defaultRowHeight="15" x14ac:dyDescent="0.25"/>
  <cols>
    <col min="2" max="2" width="20.7109375" customWidth="1"/>
    <col min="3" max="3" width="22.5703125" customWidth="1"/>
    <col min="4" max="5" width="18.5703125" customWidth="1"/>
  </cols>
  <sheetData>
    <row r="1" spans="2:5" ht="15.75" thickBot="1" x14ac:dyDescent="0.3"/>
    <row r="2" spans="2:5" ht="24" thickBot="1" x14ac:dyDescent="0.4">
      <c r="B2" s="88" t="s">
        <v>86</v>
      </c>
      <c r="C2" s="89"/>
      <c r="D2" s="89"/>
      <c r="E2" s="90"/>
    </row>
    <row r="3" spans="2:5" ht="19.5" thickTop="1" x14ac:dyDescent="0.3">
      <c r="B3" s="95" t="s">
        <v>81</v>
      </c>
      <c r="C3" s="96"/>
      <c r="D3" s="96"/>
      <c r="E3" s="97"/>
    </row>
    <row r="4" spans="2:5" x14ac:dyDescent="0.25">
      <c r="B4" s="77" t="s">
        <v>87</v>
      </c>
      <c r="C4" s="78"/>
      <c r="D4" s="91" t="s">
        <v>112</v>
      </c>
      <c r="E4" s="92"/>
    </row>
    <row r="5" spans="2:5" x14ac:dyDescent="0.25">
      <c r="B5" s="93" t="s">
        <v>88</v>
      </c>
      <c r="C5" s="94"/>
      <c r="D5" s="91" t="s">
        <v>112</v>
      </c>
      <c r="E5" s="92"/>
    </row>
    <row r="6" spans="2:5" x14ac:dyDescent="0.25">
      <c r="B6" s="93"/>
      <c r="C6" s="94"/>
      <c r="D6" s="91"/>
      <c r="E6" s="92"/>
    </row>
    <row r="7" spans="2:5" x14ac:dyDescent="0.25">
      <c r="B7" s="77" t="s">
        <v>85</v>
      </c>
      <c r="C7" s="78"/>
      <c r="D7" s="91">
        <v>2020</v>
      </c>
      <c r="E7" s="92"/>
    </row>
    <row r="8" spans="2:5" x14ac:dyDescent="0.25">
      <c r="B8" s="77" t="s">
        <v>95</v>
      </c>
      <c r="C8" s="78"/>
      <c r="D8" s="91" t="s">
        <v>79</v>
      </c>
      <c r="E8" s="92"/>
    </row>
    <row r="9" spans="2:5" ht="19.5" thickBot="1" x14ac:dyDescent="0.35">
      <c r="B9" s="81" t="s">
        <v>89</v>
      </c>
      <c r="C9" s="82"/>
      <c r="D9" s="82"/>
      <c r="E9" s="83"/>
    </row>
    <row r="10" spans="2:5" ht="20.25" thickTop="1" thickBot="1" x14ac:dyDescent="0.35">
      <c r="B10" s="84"/>
      <c r="C10" s="85"/>
      <c r="D10" s="49" t="s">
        <v>4</v>
      </c>
      <c r="E10" s="50" t="s">
        <v>5</v>
      </c>
    </row>
    <row r="11" spans="2:5" ht="15.75" thickTop="1" x14ac:dyDescent="0.25">
      <c r="B11" s="73" t="s">
        <v>96</v>
      </c>
      <c r="C11" s="74"/>
      <c r="D11" s="45">
        <v>900</v>
      </c>
      <c r="E11" s="46">
        <v>100</v>
      </c>
    </row>
    <row r="12" spans="2:5" x14ac:dyDescent="0.25">
      <c r="B12" s="77" t="s">
        <v>97</v>
      </c>
      <c r="C12" s="78"/>
      <c r="D12" s="79">
        <v>0.5</v>
      </c>
      <c r="E12" s="80"/>
    </row>
    <row r="13" spans="2:5" x14ac:dyDescent="0.25">
      <c r="B13" s="77" t="s">
        <v>98</v>
      </c>
      <c r="C13" s="78"/>
      <c r="D13" s="79">
        <v>40</v>
      </c>
      <c r="E13" s="80"/>
    </row>
    <row r="14" spans="2:5" x14ac:dyDescent="0.25">
      <c r="B14" s="77" t="s">
        <v>99</v>
      </c>
      <c r="C14" s="78"/>
      <c r="D14" s="79">
        <v>20</v>
      </c>
      <c r="E14" s="80"/>
    </row>
    <row r="15" spans="2:5" ht="15.75" thickBot="1" x14ac:dyDescent="0.3">
      <c r="B15" s="75" t="s">
        <v>100</v>
      </c>
      <c r="C15" s="76"/>
      <c r="D15" s="86">
        <v>10</v>
      </c>
      <c r="E15" s="87"/>
    </row>
    <row r="16" spans="2:5" ht="15.75" thickTop="1" x14ac:dyDescent="0.25">
      <c r="B16" s="111" t="s">
        <v>101</v>
      </c>
      <c r="C16" s="112"/>
      <c r="D16" s="113">
        <v>5</v>
      </c>
      <c r="E16" s="114"/>
    </row>
    <row r="17" spans="2:5" x14ac:dyDescent="0.25">
      <c r="B17" s="77" t="s">
        <v>158</v>
      </c>
      <c r="C17" s="78"/>
      <c r="D17" s="79">
        <v>12</v>
      </c>
      <c r="E17" s="80"/>
    </row>
    <row r="18" spans="2:5" x14ac:dyDescent="0.25">
      <c r="B18" s="77" t="s">
        <v>102</v>
      </c>
      <c r="C18" s="78"/>
      <c r="D18" s="79">
        <v>40</v>
      </c>
      <c r="E18" s="80"/>
    </row>
    <row r="19" spans="2:5" ht="15.75" thickBot="1" x14ac:dyDescent="0.3">
      <c r="B19" s="75" t="s">
        <v>103</v>
      </c>
      <c r="C19" s="76"/>
      <c r="D19" s="47">
        <v>0.2</v>
      </c>
      <c r="E19" s="48">
        <v>0.2</v>
      </c>
    </row>
    <row r="20" spans="2:5" ht="20.25" thickTop="1" thickBot="1" x14ac:dyDescent="0.35">
      <c r="B20" s="100" t="s">
        <v>82</v>
      </c>
      <c r="C20" s="101"/>
      <c r="D20" s="101"/>
      <c r="E20" s="102"/>
    </row>
    <row r="21" spans="2:5" ht="15.75" thickTop="1" x14ac:dyDescent="0.25">
      <c r="B21" s="73" t="s">
        <v>83</v>
      </c>
      <c r="C21" s="74"/>
      <c r="D21" s="43" t="e">
        <f>IF($D$8="Local",VLOOKUP($D$7,'RUC Data'!S22:T27,2,FALSE),VLOOKUP($D$7,'RUC Data'!S22:U27,3,FALSE))</f>
        <v>#N/A</v>
      </c>
      <c r="E21" s="44" t="e">
        <f>VLOOKUP($D$7,'RUC Data'!S22:V27,4,FALSE)</f>
        <v>#N/A</v>
      </c>
    </row>
    <row r="22" spans="2:5" x14ac:dyDescent="0.25">
      <c r="B22" s="77" t="s">
        <v>109</v>
      </c>
      <c r="C22" s="78"/>
      <c r="D22" s="105">
        <f>D12/D13*60</f>
        <v>0.75</v>
      </c>
      <c r="E22" s="106"/>
    </row>
    <row r="23" spans="2:5" x14ac:dyDescent="0.25">
      <c r="B23" s="77" t="s">
        <v>108</v>
      </c>
      <c r="C23" s="78"/>
      <c r="D23" s="105">
        <f>D12/D14*60</f>
        <v>1.5</v>
      </c>
      <c r="E23" s="106"/>
    </row>
    <row r="24" spans="2:5" x14ac:dyDescent="0.25">
      <c r="B24" s="77" t="s">
        <v>107</v>
      </c>
      <c r="C24" s="78"/>
      <c r="D24" s="105">
        <f>D23-D22</f>
        <v>0.75</v>
      </c>
      <c r="E24" s="106"/>
    </row>
    <row r="25" spans="2:5" x14ac:dyDescent="0.25">
      <c r="B25" s="109" t="s">
        <v>115</v>
      </c>
      <c r="C25" s="110"/>
      <c r="D25" s="105">
        <f>D24+D15</f>
        <v>10.75</v>
      </c>
      <c r="E25" s="106"/>
    </row>
    <row r="26" spans="2:5" x14ac:dyDescent="0.25">
      <c r="B26" s="77" t="s">
        <v>90</v>
      </c>
      <c r="C26" s="78"/>
      <c r="D26" s="12" t="e">
        <f>D21*D25/60</f>
        <v>#N/A</v>
      </c>
      <c r="E26" s="13" t="e">
        <f>E21*D25/60</f>
        <v>#N/A</v>
      </c>
    </row>
    <row r="27" spans="2:5" ht="15.75" thickBot="1" x14ac:dyDescent="0.3">
      <c r="B27" s="71" t="s">
        <v>110</v>
      </c>
      <c r="C27" s="72"/>
      <c r="D27" s="51" t="e">
        <f>D11*(1-D19)*D26</f>
        <v>#N/A</v>
      </c>
      <c r="E27" s="52" t="e">
        <f>E11*(1-E19)*E26</f>
        <v>#N/A</v>
      </c>
    </row>
    <row r="28" spans="2:5" ht="15.75" thickTop="1" x14ac:dyDescent="0.25">
      <c r="B28" s="73" t="s">
        <v>104</v>
      </c>
      <c r="C28" s="74"/>
      <c r="D28" s="107">
        <f>D16/D13*60</f>
        <v>7.5</v>
      </c>
      <c r="E28" s="108"/>
    </row>
    <row r="29" spans="2:5" x14ac:dyDescent="0.25">
      <c r="B29" s="77" t="s">
        <v>105</v>
      </c>
      <c r="C29" s="78"/>
      <c r="D29" s="105">
        <f>D17/D18*60</f>
        <v>18</v>
      </c>
      <c r="E29" s="106"/>
    </row>
    <row r="30" spans="2:5" x14ac:dyDescent="0.25">
      <c r="B30" s="77" t="s">
        <v>106</v>
      </c>
      <c r="C30" s="78"/>
      <c r="D30" s="105">
        <f>D29-D28</f>
        <v>10.5</v>
      </c>
      <c r="E30" s="106"/>
    </row>
    <row r="31" spans="2:5" x14ac:dyDescent="0.25">
      <c r="B31" s="77" t="s">
        <v>91</v>
      </c>
      <c r="C31" s="78"/>
      <c r="D31" s="12" t="e">
        <f>D21*D30/60</f>
        <v>#N/A</v>
      </c>
      <c r="E31" s="13" t="e">
        <f>E21*D30/60</f>
        <v>#N/A</v>
      </c>
    </row>
    <row r="32" spans="2:5" ht="15.75" thickBot="1" x14ac:dyDescent="0.3">
      <c r="B32" s="71" t="s">
        <v>111</v>
      </c>
      <c r="C32" s="72"/>
      <c r="D32" s="51" t="e">
        <f>D11*D19*D31</f>
        <v>#N/A</v>
      </c>
      <c r="E32" s="53" t="e">
        <f>E11*E19*E31</f>
        <v>#N/A</v>
      </c>
    </row>
    <row r="33" spans="2:5" ht="15.75" thickTop="1" x14ac:dyDescent="0.25">
      <c r="B33" s="73" t="s">
        <v>92</v>
      </c>
      <c r="C33" s="74"/>
      <c r="D33" s="43" t="e">
        <f>VLOOKUP(D7,'RUC Data'!S22:W27,5,FALSE)</f>
        <v>#N/A</v>
      </c>
      <c r="E33" s="44" t="e">
        <f>VLOOKUP(D7,'RUC Data'!S22:X27,6,FALSE)</f>
        <v>#N/A</v>
      </c>
    </row>
    <row r="34" spans="2:5" x14ac:dyDescent="0.25">
      <c r="B34" s="77" t="s">
        <v>93</v>
      </c>
      <c r="C34" s="78"/>
      <c r="D34" s="9">
        <f>D11*D19*(D17-D16)</f>
        <v>1260</v>
      </c>
      <c r="E34" s="10">
        <f>E11*E19*(D17-D16)</f>
        <v>140</v>
      </c>
    </row>
    <row r="35" spans="2:5" ht="15.75" thickBot="1" x14ac:dyDescent="0.3">
      <c r="B35" s="75" t="s">
        <v>116</v>
      </c>
      <c r="C35" s="76"/>
      <c r="D35" s="51" t="e">
        <f>D33*D34</f>
        <v>#N/A</v>
      </c>
      <c r="E35" s="53" t="e">
        <f>E33*E34</f>
        <v>#N/A</v>
      </c>
    </row>
    <row r="36" spans="2:5" ht="20.25" thickTop="1" thickBot="1" x14ac:dyDescent="0.35">
      <c r="B36" s="100" t="s">
        <v>84</v>
      </c>
      <c r="C36" s="101"/>
      <c r="D36" s="101"/>
      <c r="E36" s="102"/>
    </row>
    <row r="37" spans="2:5" ht="16.5" thickTop="1" thickBot="1" x14ac:dyDescent="0.3">
      <c r="B37" s="129" t="s">
        <v>94</v>
      </c>
      <c r="C37" s="130"/>
      <c r="D37" s="131" t="e">
        <f>SUM(D27,E27,D32,E32,D35,E35)</f>
        <v>#N/A</v>
      </c>
      <c r="E37" s="132"/>
    </row>
    <row r="38" spans="2:5" ht="15.75" thickTop="1" x14ac:dyDescent="0.25"/>
  </sheetData>
  <mergeCells count="54">
    <mergeCell ref="B35:C35"/>
    <mergeCell ref="B36:E36"/>
    <mergeCell ref="B37:C37"/>
    <mergeCell ref="D37:E37"/>
    <mergeCell ref="B34:C34"/>
    <mergeCell ref="B26:C26"/>
    <mergeCell ref="B27:C27"/>
    <mergeCell ref="B28:C28"/>
    <mergeCell ref="D28:E28"/>
    <mergeCell ref="B29:C29"/>
    <mergeCell ref="D29:E29"/>
    <mergeCell ref="B30:C30"/>
    <mergeCell ref="D30:E30"/>
    <mergeCell ref="B31:C31"/>
    <mergeCell ref="B32:C32"/>
    <mergeCell ref="B33:C33"/>
    <mergeCell ref="B23:C23"/>
    <mergeCell ref="D23:E23"/>
    <mergeCell ref="B24:C24"/>
    <mergeCell ref="D24:E24"/>
    <mergeCell ref="B25:C25"/>
    <mergeCell ref="D25:E25"/>
    <mergeCell ref="B22:C22"/>
    <mergeCell ref="D22:E22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B20:E20"/>
    <mergeCell ref="B21:C21"/>
    <mergeCell ref="B14:C14"/>
    <mergeCell ref="D14:E14"/>
    <mergeCell ref="B7:C7"/>
    <mergeCell ref="D7:E7"/>
    <mergeCell ref="B8:C8"/>
    <mergeCell ref="D8:E8"/>
    <mergeCell ref="B9:E9"/>
    <mergeCell ref="B10:C10"/>
    <mergeCell ref="B11:C11"/>
    <mergeCell ref="B12:C12"/>
    <mergeCell ref="D12:E12"/>
    <mergeCell ref="B13:C13"/>
    <mergeCell ref="D13:E13"/>
    <mergeCell ref="B2:E2"/>
    <mergeCell ref="B3:E3"/>
    <mergeCell ref="B4:C4"/>
    <mergeCell ref="D4:E4"/>
    <mergeCell ref="B5:C6"/>
    <mergeCell ref="D5:E6"/>
  </mergeCells>
  <dataValidations count="5">
    <dataValidation type="whole" allowBlank="1" showInputMessage="1" showErrorMessage="1" promptTitle="Input Workzone Speed" prompt="Enter posted construction speed or pilot car speed" sqref="D14" xr:uid="{00000000-0002-0000-0300-000000000000}">
      <formula1>0</formula1>
      <formula2>60</formula2>
    </dataValidation>
    <dataValidation allowBlank="1" showInputMessage="1" showErrorMessage="1" promptTitle="Input Stopped Time" prompt="Average time vehicles are stopped at flaggers" sqref="D15:E15" xr:uid="{00000000-0002-0000-0300-000001000000}"/>
    <dataValidation allowBlank="1" showInputMessage="1" showErrorMessage="1" promptTitle="Input Length" prompt="Normal Route Length is measured from the beginning to the end of the detour along the normal route (through the workzone)_x000a_" sqref="D16:E16" xr:uid="{00000000-0002-0000-0300-000002000000}"/>
    <dataValidation allowBlank="1" showInputMessage="1" showErrorMessage="1" promptTitle="Input Average Speed" prompt="Use Posted Speed along Detour.  Calculate Average Speed if Posted Speed varies." sqref="D18:E18" xr:uid="{00000000-0002-0000-0300-000003000000}"/>
    <dataValidation type="decimal" allowBlank="1" showInputMessage="1" showErrorMessage="1" promptTitle="Percentage" prompt="Input percentage as a decimal from 0.00 to 1.00" sqref="D19:E19" xr:uid="{00000000-0002-0000-0300-000004000000}">
      <formula1>0</formula1>
      <formula2>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Route Type" prompt="Select based on the majority of trips using this route.  Use Intercity for NPS projects." xr:uid="{00000000-0002-0000-0300-000005000000}">
          <x14:formula1>
            <xm:f>'RUC Data'!$T$21:$U$21</xm:f>
          </x14:formula1>
          <xm:sqref>D8:E8</xm:sqref>
        </x14:dataValidation>
        <x14:dataValidation type="list" allowBlank="1" showInputMessage="1" showErrorMessage="1" promptTitle="Select Project Year" prompt="Choose Fiscal Year of Advertisement" xr:uid="{00000000-0002-0000-0300-000006000000}">
          <x14:formula1>
            <xm:f>'RUC Data'!$S$22:$S$27</xm:f>
          </x14:formula1>
          <xm:sqref>D7:E7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38"/>
  <sheetViews>
    <sheetView topLeftCell="A7" workbookViewId="0">
      <selection activeCell="F46" sqref="F46"/>
    </sheetView>
  </sheetViews>
  <sheetFormatPr defaultRowHeight="15" x14ac:dyDescent="0.25"/>
  <cols>
    <col min="2" max="2" width="20.7109375" customWidth="1"/>
    <col min="3" max="3" width="22.5703125" customWidth="1"/>
    <col min="4" max="5" width="18.5703125" customWidth="1"/>
  </cols>
  <sheetData>
    <row r="1" spans="2:5" ht="15.75" thickBot="1" x14ac:dyDescent="0.3"/>
    <row r="2" spans="2:5" ht="24" thickBot="1" x14ac:dyDescent="0.4">
      <c r="B2" s="88" t="s">
        <v>86</v>
      </c>
      <c r="C2" s="89"/>
      <c r="D2" s="89"/>
      <c r="E2" s="90"/>
    </row>
    <row r="3" spans="2:5" ht="19.5" thickTop="1" x14ac:dyDescent="0.3">
      <c r="B3" s="95" t="s">
        <v>81</v>
      </c>
      <c r="C3" s="96"/>
      <c r="D3" s="96"/>
      <c r="E3" s="97"/>
    </row>
    <row r="4" spans="2:5" x14ac:dyDescent="0.25">
      <c r="B4" s="77" t="s">
        <v>87</v>
      </c>
      <c r="C4" s="78"/>
      <c r="D4" s="91" t="s">
        <v>112</v>
      </c>
      <c r="E4" s="92"/>
    </row>
    <row r="5" spans="2:5" x14ac:dyDescent="0.25">
      <c r="B5" s="93" t="s">
        <v>88</v>
      </c>
      <c r="C5" s="94"/>
      <c r="D5" s="91" t="s">
        <v>117</v>
      </c>
      <c r="E5" s="92"/>
    </row>
    <row r="6" spans="2:5" x14ac:dyDescent="0.25">
      <c r="B6" s="93"/>
      <c r="C6" s="94"/>
      <c r="D6" s="91"/>
      <c r="E6" s="92"/>
    </row>
    <row r="7" spans="2:5" x14ac:dyDescent="0.25">
      <c r="B7" s="77" t="s">
        <v>85</v>
      </c>
      <c r="C7" s="78"/>
      <c r="D7" s="91">
        <v>2021</v>
      </c>
      <c r="E7" s="92"/>
    </row>
    <row r="8" spans="2:5" x14ac:dyDescent="0.25">
      <c r="B8" s="77" t="s">
        <v>95</v>
      </c>
      <c r="C8" s="78"/>
      <c r="D8" s="91" t="s">
        <v>52</v>
      </c>
      <c r="E8" s="92"/>
    </row>
    <row r="9" spans="2:5" ht="19.5" thickBot="1" x14ac:dyDescent="0.35">
      <c r="B9" s="81" t="s">
        <v>89</v>
      </c>
      <c r="C9" s="82"/>
      <c r="D9" s="82"/>
      <c r="E9" s="83"/>
    </row>
    <row r="10" spans="2:5" ht="20.25" thickTop="1" thickBot="1" x14ac:dyDescent="0.35">
      <c r="B10" s="84"/>
      <c r="C10" s="85"/>
      <c r="D10" s="49" t="s">
        <v>4</v>
      </c>
      <c r="E10" s="50" t="s">
        <v>5</v>
      </c>
    </row>
    <row r="11" spans="2:5" ht="15.75" thickTop="1" x14ac:dyDescent="0.25">
      <c r="B11" s="73" t="s">
        <v>96</v>
      </c>
      <c r="C11" s="74"/>
      <c r="D11" s="45">
        <v>3400</v>
      </c>
      <c r="E11" s="46">
        <v>150</v>
      </c>
    </row>
    <row r="12" spans="2:5" x14ac:dyDescent="0.25">
      <c r="B12" s="77" t="s">
        <v>97</v>
      </c>
      <c r="C12" s="78"/>
      <c r="D12" s="79">
        <v>6.5</v>
      </c>
      <c r="E12" s="80"/>
    </row>
    <row r="13" spans="2:5" x14ac:dyDescent="0.25">
      <c r="B13" s="77" t="s">
        <v>98</v>
      </c>
      <c r="C13" s="78"/>
      <c r="D13" s="79">
        <v>40</v>
      </c>
      <c r="E13" s="80"/>
    </row>
    <row r="14" spans="2:5" x14ac:dyDescent="0.25">
      <c r="B14" s="77" t="s">
        <v>99</v>
      </c>
      <c r="C14" s="78"/>
      <c r="D14" s="79">
        <v>15</v>
      </c>
      <c r="E14" s="80"/>
    </row>
    <row r="15" spans="2:5" ht="15.75" thickBot="1" x14ac:dyDescent="0.3">
      <c r="B15" s="75" t="s">
        <v>100</v>
      </c>
      <c r="C15" s="76"/>
      <c r="D15" s="86">
        <v>15</v>
      </c>
      <c r="E15" s="87"/>
    </row>
    <row r="16" spans="2:5" ht="15.75" thickTop="1" x14ac:dyDescent="0.25">
      <c r="B16" s="111" t="s">
        <v>101</v>
      </c>
      <c r="C16" s="112"/>
      <c r="D16" s="113">
        <v>18</v>
      </c>
      <c r="E16" s="114"/>
    </row>
    <row r="17" spans="2:5" x14ac:dyDescent="0.25">
      <c r="B17" s="77" t="s">
        <v>158</v>
      </c>
      <c r="C17" s="78"/>
      <c r="D17" s="79">
        <v>51</v>
      </c>
      <c r="E17" s="80"/>
    </row>
    <row r="18" spans="2:5" x14ac:dyDescent="0.25">
      <c r="B18" s="77" t="s">
        <v>102</v>
      </c>
      <c r="C18" s="78"/>
      <c r="D18" s="79">
        <v>40</v>
      </c>
      <c r="E18" s="80"/>
    </row>
    <row r="19" spans="2:5" ht="15.75" thickBot="1" x14ac:dyDescent="0.3">
      <c r="B19" s="75" t="s">
        <v>103</v>
      </c>
      <c r="C19" s="76"/>
      <c r="D19" s="47">
        <v>1</v>
      </c>
      <c r="E19" s="48">
        <v>1</v>
      </c>
    </row>
    <row r="20" spans="2:5" ht="20.25" thickTop="1" thickBot="1" x14ac:dyDescent="0.35">
      <c r="B20" s="100" t="s">
        <v>82</v>
      </c>
      <c r="C20" s="101"/>
      <c r="D20" s="101"/>
      <c r="E20" s="102"/>
    </row>
    <row r="21" spans="2:5" ht="15.75" thickTop="1" x14ac:dyDescent="0.25">
      <c r="B21" s="73" t="s">
        <v>83</v>
      </c>
      <c r="C21" s="74"/>
      <c r="D21" s="43" t="e">
        <f>IF($D$8="Local",VLOOKUP($D$7,'RUC Data'!S22:T27,2,FALSE),VLOOKUP($D$7,'RUC Data'!S22:U27,3,FALSE))</f>
        <v>#N/A</v>
      </c>
      <c r="E21" s="44" t="e">
        <f>VLOOKUP($D$7,'RUC Data'!S22:V27,4,FALSE)</f>
        <v>#N/A</v>
      </c>
    </row>
    <row r="22" spans="2:5" x14ac:dyDescent="0.25">
      <c r="B22" s="77" t="s">
        <v>109</v>
      </c>
      <c r="C22" s="78"/>
      <c r="D22" s="105">
        <f>D12/D13*60</f>
        <v>9.75</v>
      </c>
      <c r="E22" s="106"/>
    </row>
    <row r="23" spans="2:5" x14ac:dyDescent="0.25">
      <c r="B23" s="77" t="s">
        <v>108</v>
      </c>
      <c r="C23" s="78"/>
      <c r="D23" s="105">
        <f>D12/D14*60</f>
        <v>26</v>
      </c>
      <c r="E23" s="106"/>
    </row>
    <row r="24" spans="2:5" x14ac:dyDescent="0.25">
      <c r="B24" s="77" t="s">
        <v>107</v>
      </c>
      <c r="C24" s="78"/>
      <c r="D24" s="105">
        <f>D23-D22</f>
        <v>16.25</v>
      </c>
      <c r="E24" s="106"/>
    </row>
    <row r="25" spans="2:5" x14ac:dyDescent="0.25">
      <c r="B25" s="109" t="s">
        <v>115</v>
      </c>
      <c r="C25" s="110"/>
      <c r="D25" s="105">
        <f>D24+D15</f>
        <v>31.25</v>
      </c>
      <c r="E25" s="106"/>
    </row>
    <row r="26" spans="2:5" x14ac:dyDescent="0.25">
      <c r="B26" s="77" t="s">
        <v>90</v>
      </c>
      <c r="C26" s="78"/>
      <c r="D26" s="12" t="e">
        <f>D21*D25/60</f>
        <v>#N/A</v>
      </c>
      <c r="E26" s="13" t="e">
        <f>E21*D25/60</f>
        <v>#N/A</v>
      </c>
    </row>
    <row r="27" spans="2:5" ht="15.75" thickBot="1" x14ac:dyDescent="0.3">
      <c r="B27" s="71" t="s">
        <v>110</v>
      </c>
      <c r="C27" s="72"/>
      <c r="D27" s="51" t="e">
        <f>D11*(1-D19)*D26</f>
        <v>#N/A</v>
      </c>
      <c r="E27" s="52" t="e">
        <f>E11*(1-E19)*E26</f>
        <v>#N/A</v>
      </c>
    </row>
    <row r="28" spans="2:5" ht="15.75" thickTop="1" x14ac:dyDescent="0.25">
      <c r="B28" s="73" t="s">
        <v>104</v>
      </c>
      <c r="C28" s="74"/>
      <c r="D28" s="107">
        <f>D16/D13*60</f>
        <v>27</v>
      </c>
      <c r="E28" s="108"/>
    </row>
    <row r="29" spans="2:5" x14ac:dyDescent="0.25">
      <c r="B29" s="77" t="s">
        <v>105</v>
      </c>
      <c r="C29" s="78"/>
      <c r="D29" s="105">
        <f>D17/D18*60</f>
        <v>76.5</v>
      </c>
      <c r="E29" s="106"/>
    </row>
    <row r="30" spans="2:5" x14ac:dyDescent="0.25">
      <c r="B30" s="77" t="s">
        <v>106</v>
      </c>
      <c r="C30" s="78"/>
      <c r="D30" s="105">
        <f>D29-D28</f>
        <v>49.5</v>
      </c>
      <c r="E30" s="106"/>
    </row>
    <row r="31" spans="2:5" x14ac:dyDescent="0.25">
      <c r="B31" s="77" t="s">
        <v>91</v>
      </c>
      <c r="C31" s="78"/>
      <c r="D31" s="12" t="e">
        <f>D21*D30/60</f>
        <v>#N/A</v>
      </c>
      <c r="E31" s="13" t="e">
        <f>E21*D30/60</f>
        <v>#N/A</v>
      </c>
    </row>
    <row r="32" spans="2:5" ht="15.75" thickBot="1" x14ac:dyDescent="0.3">
      <c r="B32" s="71" t="s">
        <v>111</v>
      </c>
      <c r="C32" s="72"/>
      <c r="D32" s="51" t="e">
        <f>D11*D19*D31</f>
        <v>#N/A</v>
      </c>
      <c r="E32" s="53" t="e">
        <f>E11*E19*E31</f>
        <v>#N/A</v>
      </c>
    </row>
    <row r="33" spans="2:5" ht="15.75" thickTop="1" x14ac:dyDescent="0.25">
      <c r="B33" s="73" t="s">
        <v>92</v>
      </c>
      <c r="C33" s="74"/>
      <c r="D33" s="43" t="e">
        <f>VLOOKUP(D7,'RUC Data'!S22:W27,5,FALSE)</f>
        <v>#N/A</v>
      </c>
      <c r="E33" s="44" t="e">
        <f>VLOOKUP(D7,'RUC Data'!S22:X27,6,FALSE)</f>
        <v>#N/A</v>
      </c>
    </row>
    <row r="34" spans="2:5" x14ac:dyDescent="0.25">
      <c r="B34" s="77" t="s">
        <v>93</v>
      </c>
      <c r="C34" s="78"/>
      <c r="D34" s="9">
        <f>D11*D19*(D17-D16)</f>
        <v>112200</v>
      </c>
      <c r="E34" s="10">
        <f>E11*E19*(D17-D16)</f>
        <v>4950</v>
      </c>
    </row>
    <row r="35" spans="2:5" ht="15.75" thickBot="1" x14ac:dyDescent="0.3">
      <c r="B35" s="75" t="s">
        <v>116</v>
      </c>
      <c r="C35" s="76"/>
      <c r="D35" s="51" t="e">
        <f>D33*D34</f>
        <v>#N/A</v>
      </c>
      <c r="E35" s="53" t="e">
        <f>E33*E34</f>
        <v>#N/A</v>
      </c>
    </row>
    <row r="36" spans="2:5" ht="20.25" thickTop="1" thickBot="1" x14ac:dyDescent="0.35">
      <c r="B36" s="100" t="s">
        <v>84</v>
      </c>
      <c r="C36" s="101"/>
      <c r="D36" s="101"/>
      <c r="E36" s="102"/>
    </row>
    <row r="37" spans="2:5" ht="16.5" thickTop="1" thickBot="1" x14ac:dyDescent="0.3">
      <c r="B37" s="129" t="s">
        <v>94</v>
      </c>
      <c r="C37" s="130"/>
      <c r="D37" s="131" t="e">
        <f>SUM(D27,E27,D32,E32,D35,E35)</f>
        <v>#N/A</v>
      </c>
      <c r="E37" s="132"/>
    </row>
    <row r="38" spans="2:5" ht="15.75" thickTop="1" x14ac:dyDescent="0.25"/>
  </sheetData>
  <mergeCells count="54">
    <mergeCell ref="B35:C35"/>
    <mergeCell ref="B36:E36"/>
    <mergeCell ref="B37:C37"/>
    <mergeCell ref="D37:E37"/>
    <mergeCell ref="B34:C34"/>
    <mergeCell ref="B26:C26"/>
    <mergeCell ref="B27:C27"/>
    <mergeCell ref="B28:C28"/>
    <mergeCell ref="D28:E28"/>
    <mergeCell ref="B29:C29"/>
    <mergeCell ref="D29:E29"/>
    <mergeCell ref="B30:C30"/>
    <mergeCell ref="D30:E30"/>
    <mergeCell ref="B31:C31"/>
    <mergeCell ref="B32:C32"/>
    <mergeCell ref="B33:C33"/>
    <mergeCell ref="B23:C23"/>
    <mergeCell ref="D23:E23"/>
    <mergeCell ref="B24:C24"/>
    <mergeCell ref="D24:E24"/>
    <mergeCell ref="B25:C25"/>
    <mergeCell ref="D25:E25"/>
    <mergeCell ref="B22:C22"/>
    <mergeCell ref="D22:E22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B20:E20"/>
    <mergeCell ref="B21:C21"/>
    <mergeCell ref="B14:C14"/>
    <mergeCell ref="D14:E14"/>
    <mergeCell ref="B7:C7"/>
    <mergeCell ref="D7:E7"/>
    <mergeCell ref="B8:C8"/>
    <mergeCell ref="D8:E8"/>
    <mergeCell ref="B9:E9"/>
    <mergeCell ref="B10:C10"/>
    <mergeCell ref="B11:C11"/>
    <mergeCell ref="B12:C12"/>
    <mergeCell ref="D12:E12"/>
    <mergeCell ref="B13:C13"/>
    <mergeCell ref="D13:E13"/>
    <mergeCell ref="B2:E2"/>
    <mergeCell ref="B3:E3"/>
    <mergeCell ref="B4:C4"/>
    <mergeCell ref="D4:E4"/>
    <mergeCell ref="B5:C6"/>
    <mergeCell ref="D5:E6"/>
  </mergeCells>
  <dataValidations count="5">
    <dataValidation type="whole" allowBlank="1" showInputMessage="1" showErrorMessage="1" promptTitle="Input Workzone Speed" prompt="Enter posted construction speed or pilot car speed" sqref="D14" xr:uid="{00000000-0002-0000-0400-000000000000}">
      <formula1>0</formula1>
      <formula2>60</formula2>
    </dataValidation>
    <dataValidation allowBlank="1" showInputMessage="1" showErrorMessage="1" promptTitle="Input Stopped Time" prompt="Average time vehicles are stopped at flaggers" sqref="D15:E15" xr:uid="{00000000-0002-0000-0400-000001000000}"/>
    <dataValidation allowBlank="1" showInputMessage="1" showErrorMessage="1" promptTitle="Input Length" prompt="Normal Route Length is measured from the beginning to the end of the detour along the normal route (through the workzone)_x000a_" sqref="D16:E16" xr:uid="{00000000-0002-0000-0400-000002000000}"/>
    <dataValidation allowBlank="1" showInputMessage="1" showErrorMessage="1" promptTitle="Input Average Speed" prompt="Use Posted Speed along Detour.  Calculate Average Speed if Posted Speed varies." sqref="D18:E18" xr:uid="{00000000-0002-0000-0400-000003000000}"/>
    <dataValidation type="decimal" allowBlank="1" showInputMessage="1" showErrorMessage="1" promptTitle="Percentage" prompt="Input percentage as a decimal from 0.00 to 1.00" sqref="D19:E19" xr:uid="{00000000-0002-0000-0400-000004000000}">
      <formula1>0</formula1>
      <formula2>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t Route Type" prompt="Select based on the majority of trips using this route.  Use Intercity for NPS projects." xr:uid="{00000000-0002-0000-0400-000005000000}">
          <x14:formula1>
            <xm:f>'RUC Data'!$T$21:$U$21</xm:f>
          </x14:formula1>
          <xm:sqref>D8:E8</xm:sqref>
        </x14:dataValidation>
        <x14:dataValidation type="list" allowBlank="1" showInputMessage="1" showErrorMessage="1" promptTitle="Select Project Year" prompt="Choose Fiscal Year of Advertisement" xr:uid="{00000000-0002-0000-0400-000006000000}">
          <x14:formula1>
            <xm:f>'RUC Data'!$S$22:$S$27</xm:f>
          </x14:formula1>
          <xm:sqref>D7:E7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0"/>
  <sheetViews>
    <sheetView workbookViewId="0">
      <selection activeCell="K24" sqref="K24"/>
    </sheetView>
  </sheetViews>
  <sheetFormatPr defaultRowHeight="15" x14ac:dyDescent="0.25"/>
  <sheetData>
    <row r="1" spans="1:1" x14ac:dyDescent="0.25">
      <c r="A1" s="32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8" spans="1:1" x14ac:dyDescent="0.25">
      <c r="A8" s="32" t="s">
        <v>130</v>
      </c>
    </row>
    <row r="10" spans="1:1" x14ac:dyDescent="0.25">
      <c r="A10" s="32" t="s">
        <v>131</v>
      </c>
    </row>
    <row r="11" spans="1:1" x14ac:dyDescent="0.25">
      <c r="A11" t="s">
        <v>132</v>
      </c>
    </row>
    <row r="12" spans="1:1" x14ac:dyDescent="0.25">
      <c r="A12" t="s">
        <v>126</v>
      </c>
    </row>
    <row r="13" spans="1:1" x14ac:dyDescent="0.25">
      <c r="A13" t="s">
        <v>133</v>
      </c>
    </row>
    <row r="14" spans="1:1" x14ac:dyDescent="0.25">
      <c r="A14" t="s">
        <v>128</v>
      </c>
    </row>
    <row r="15" spans="1:1" x14ac:dyDescent="0.25">
      <c r="A15" t="s">
        <v>134</v>
      </c>
    </row>
    <row r="17" spans="1:1" x14ac:dyDescent="0.25">
      <c r="A17" s="32" t="s">
        <v>135</v>
      </c>
    </row>
    <row r="18" spans="1:1" x14ac:dyDescent="0.25">
      <c r="A18" s="32"/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126</v>
      </c>
    </row>
    <row r="22" spans="1:1" x14ac:dyDescent="0.25">
      <c r="A22" t="s">
        <v>138</v>
      </c>
    </row>
    <row r="23" spans="1:1" x14ac:dyDescent="0.25">
      <c r="A23" t="s">
        <v>128</v>
      </c>
    </row>
    <row r="24" spans="1:1" x14ac:dyDescent="0.25">
      <c r="A24" t="s">
        <v>139</v>
      </c>
    </row>
    <row r="26" spans="1:1" x14ac:dyDescent="0.25">
      <c r="A26" s="32" t="s">
        <v>140</v>
      </c>
    </row>
    <row r="28" spans="1:1" x14ac:dyDescent="0.25">
      <c r="A28" s="32" t="s">
        <v>141</v>
      </c>
    </row>
    <row r="29" spans="1:1" x14ac:dyDescent="0.25">
      <c r="A29" t="s">
        <v>142</v>
      </c>
    </row>
    <row r="30" spans="1:1" x14ac:dyDescent="0.25">
      <c r="A30" t="s">
        <v>126</v>
      </c>
    </row>
    <row r="31" spans="1:1" x14ac:dyDescent="0.25">
      <c r="A31" t="s">
        <v>143</v>
      </c>
    </row>
    <row r="32" spans="1:1" x14ac:dyDescent="0.25">
      <c r="A32" t="s">
        <v>128</v>
      </c>
    </row>
    <row r="33" spans="1:1" x14ac:dyDescent="0.25">
      <c r="A33" t="s">
        <v>144</v>
      </c>
    </row>
    <row r="35" spans="1:1" x14ac:dyDescent="0.25">
      <c r="A35" s="32" t="s">
        <v>145</v>
      </c>
    </row>
    <row r="37" spans="1:1" x14ac:dyDescent="0.25">
      <c r="A37" s="32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  <row r="42" spans="1:1" x14ac:dyDescent="0.25">
      <c r="A42" t="s">
        <v>151</v>
      </c>
    </row>
    <row r="43" spans="1:1" x14ac:dyDescent="0.25">
      <c r="A43" t="s">
        <v>152</v>
      </c>
    </row>
    <row r="44" spans="1:1" x14ac:dyDescent="0.25">
      <c r="A44" t="s">
        <v>153</v>
      </c>
    </row>
    <row r="45" spans="1:1" x14ac:dyDescent="0.25">
      <c r="A45" t="s">
        <v>154</v>
      </c>
    </row>
    <row r="46" spans="1:1" x14ac:dyDescent="0.25">
      <c r="A46" t="s">
        <v>155</v>
      </c>
    </row>
    <row r="48" spans="1:1" x14ac:dyDescent="0.25">
      <c r="A48" s="32" t="s">
        <v>156</v>
      </c>
    </row>
    <row r="50" spans="1:1" x14ac:dyDescent="0.25">
      <c r="A50" s="3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workbookViewId="0">
      <selection activeCell="C1" sqref="C1"/>
    </sheetView>
  </sheetViews>
  <sheetFormatPr defaultColWidth="9.140625" defaultRowHeight="15" x14ac:dyDescent="0.25"/>
  <cols>
    <col min="1" max="1" width="17.5703125" style="2" customWidth="1"/>
    <col min="2" max="16384" width="9.140625" style="1"/>
  </cols>
  <sheetData>
    <row r="1" spans="1:11" s="2" customFormat="1" ht="75" x14ac:dyDescent="0.25">
      <c r="A1" s="7" t="s">
        <v>0</v>
      </c>
      <c r="B1" s="7" t="s">
        <v>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</row>
    <row r="2" spans="1:11" x14ac:dyDescent="0.25">
      <c r="A2" s="133" t="s">
        <v>1</v>
      </c>
      <c r="B2" s="3" t="s">
        <v>4</v>
      </c>
      <c r="C2" s="3"/>
      <c r="D2" s="3"/>
      <c r="E2" s="5"/>
      <c r="F2" s="3"/>
      <c r="G2" s="3"/>
      <c r="H2" s="3"/>
    </row>
    <row r="3" spans="1:11" x14ac:dyDescent="0.25">
      <c r="A3" s="133"/>
      <c r="B3" s="3" t="s">
        <v>5</v>
      </c>
      <c r="C3" s="3"/>
      <c r="D3" s="3"/>
      <c r="E3" s="5"/>
      <c r="F3" s="3"/>
      <c r="G3" s="3"/>
      <c r="H3" s="3"/>
    </row>
    <row r="4" spans="1:11" x14ac:dyDescent="0.25">
      <c r="A4" s="133" t="s">
        <v>2</v>
      </c>
      <c r="B4" s="3" t="s">
        <v>4</v>
      </c>
      <c r="C4" s="3"/>
      <c r="D4" s="3"/>
      <c r="E4" s="5"/>
      <c r="F4" s="3"/>
      <c r="G4" s="3"/>
      <c r="H4" s="3"/>
    </row>
    <row r="5" spans="1:11" x14ac:dyDescent="0.25">
      <c r="A5" s="133"/>
      <c r="B5" s="3" t="s">
        <v>5</v>
      </c>
      <c r="C5" s="3"/>
      <c r="D5" s="3"/>
      <c r="E5" s="5"/>
      <c r="F5" s="3"/>
      <c r="G5" s="3"/>
      <c r="H5" s="3"/>
    </row>
    <row r="6" spans="1:11" x14ac:dyDescent="0.25">
      <c r="A6" s="133" t="s">
        <v>3</v>
      </c>
      <c r="B6" s="3" t="s">
        <v>4</v>
      </c>
      <c r="C6" s="3"/>
      <c r="D6" s="3"/>
      <c r="E6" s="5"/>
      <c r="F6" s="3"/>
      <c r="G6" s="3"/>
      <c r="H6" s="3"/>
    </row>
    <row r="7" spans="1:11" x14ac:dyDescent="0.25">
      <c r="A7" s="133"/>
      <c r="B7" s="3" t="s">
        <v>5</v>
      </c>
      <c r="C7" s="3"/>
      <c r="D7" s="3"/>
      <c r="E7" s="5"/>
      <c r="F7" s="3"/>
      <c r="G7" s="3"/>
      <c r="H7" s="3"/>
    </row>
    <row r="8" spans="1:11" x14ac:dyDescent="0.25">
      <c r="A8" s="133" t="s">
        <v>3</v>
      </c>
      <c r="B8" s="3" t="s">
        <v>4</v>
      </c>
      <c r="C8" s="3"/>
      <c r="D8" s="3"/>
      <c r="E8" s="5"/>
      <c r="F8" s="3"/>
      <c r="G8" s="3"/>
      <c r="H8" s="3"/>
    </row>
    <row r="9" spans="1:11" x14ac:dyDescent="0.25">
      <c r="A9" s="133"/>
      <c r="B9" s="3" t="s">
        <v>5</v>
      </c>
      <c r="C9" s="3"/>
      <c r="D9" s="3"/>
      <c r="E9" s="5"/>
      <c r="F9" s="3"/>
      <c r="G9" s="3"/>
      <c r="H9" s="3"/>
    </row>
    <row r="10" spans="1:11" x14ac:dyDescent="0.25">
      <c r="A10" s="133" t="s">
        <v>14</v>
      </c>
      <c r="B10" s="3" t="s">
        <v>4</v>
      </c>
      <c r="C10" s="3"/>
      <c r="D10" s="3"/>
      <c r="E10" s="5"/>
      <c r="F10" s="3"/>
      <c r="G10" s="3"/>
      <c r="H10" s="3"/>
    </row>
    <row r="11" spans="1:11" x14ac:dyDescent="0.25">
      <c r="A11" s="133"/>
      <c r="B11" s="3" t="s">
        <v>5</v>
      </c>
      <c r="C11" s="3"/>
      <c r="D11" s="3"/>
      <c r="E11" s="5"/>
      <c r="F11" s="4"/>
      <c r="G11" s="4"/>
      <c r="H11" s="4"/>
    </row>
    <row r="12" spans="1:11" x14ac:dyDescent="0.25">
      <c r="A12" s="133" t="s">
        <v>13</v>
      </c>
      <c r="B12" s="3" t="s">
        <v>4</v>
      </c>
      <c r="C12" s="3"/>
      <c r="D12" s="3"/>
      <c r="E12" s="3"/>
      <c r="F12" s="5"/>
      <c r="G12" s="3"/>
      <c r="H12" s="3"/>
    </row>
    <row r="13" spans="1:11" x14ac:dyDescent="0.25">
      <c r="A13" s="133"/>
      <c r="B13" s="3" t="s">
        <v>5</v>
      </c>
      <c r="C13" s="3"/>
      <c r="D13" s="3"/>
      <c r="E13" s="3"/>
      <c r="F13" s="5"/>
      <c r="G13" s="3"/>
      <c r="H13" s="3"/>
    </row>
    <row r="15" spans="1:11" ht="15.75" thickBot="1" x14ac:dyDescent="0.3">
      <c r="G15" s="6"/>
      <c r="H15" s="6"/>
      <c r="I15" s="8" t="s">
        <v>15</v>
      </c>
      <c r="J15" s="6"/>
      <c r="K15" s="6"/>
    </row>
    <row r="16" spans="1:11" ht="15.75" thickTop="1" x14ac:dyDescent="0.25"/>
  </sheetData>
  <mergeCells count="6">
    <mergeCell ref="A12:A13"/>
    <mergeCell ref="A2:A3"/>
    <mergeCell ref="A4:A5"/>
    <mergeCell ref="A6:A7"/>
    <mergeCell ref="A8:A9"/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RUC Calculator</vt:lpstr>
      <vt:lpstr>RUC Data</vt:lpstr>
      <vt:lpstr>Sample NGG2</vt:lpstr>
      <vt:lpstr>Sample (2)</vt:lpstr>
      <vt:lpstr>Sample CT3</vt:lpstr>
      <vt:lpstr>Examples</vt:lpstr>
      <vt:lpstr>DOT User Cost</vt:lpstr>
      <vt:lpstr>'RUC Calculator'!Print_Area</vt:lpstr>
      <vt:lpstr>'RUC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Oppenheimer</dc:creator>
  <cp:lastModifiedBy>Benjamin Vincent</cp:lastModifiedBy>
  <cp:lastPrinted>2019-03-13T22:22:44Z</cp:lastPrinted>
  <dcterms:created xsi:type="dcterms:W3CDTF">2018-05-30T15:10:16Z</dcterms:created>
  <dcterms:modified xsi:type="dcterms:W3CDTF">2023-07-27T15:37:51Z</dcterms:modified>
</cp:coreProperties>
</file>