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pw-work\d0561506\"/>
    </mc:Choice>
  </mc:AlternateContent>
  <xr:revisionPtr revIDLastSave="0" documentId="13_ncr:1_{3A9697C1-CD03-4307-83EE-AE3935486161}" xr6:coauthVersionLast="47" xr6:coauthVersionMax="47" xr10:uidLastSave="{00000000-0000-0000-0000-000000000000}"/>
  <bookViews>
    <workbookView xWindow="1890" yWindow="2730" windowWidth="22110" windowHeight="10245" xr2:uid="{00000000-000D-0000-FFFF-FFFF00000000}"/>
  </bookViews>
  <sheets>
    <sheet name="Information" sheetId="3" r:id="rId1"/>
    <sheet name="Sheet" sheetId="35" r:id="rId2"/>
    <sheet name="Assumed Data" sheetId="36" r:id="rId3"/>
  </sheets>
  <definedNames>
    <definedName name="Base">Information!$C$17</definedName>
    <definedName name="Data.rows" comment="Rows of data">Information!$D$18</definedName>
    <definedName name="Data_col">Information!$C$15</definedName>
    <definedName name="Filename" localSheetId="1">Sheet!$C$3</definedName>
    <definedName name="Header1" localSheetId="1">Sheet!$A$12</definedName>
    <definedName name="Header2" localSheetId="1">Sheet!$S$12</definedName>
    <definedName name="Heading">Information!$E$20</definedName>
    <definedName name="Location">Information!$C$14</definedName>
    <definedName name="Max_rows">Information!$C$18</definedName>
    <definedName name="Min_rows">Information!$C$16</definedName>
    <definedName name="Needed">Information!$D$11</definedName>
    <definedName name="NPS.Drwg">Information!$C$10</definedName>
    <definedName name="NPS.PMIS">Information!$C$9</definedName>
    <definedName name="Order">Information!$B$25:$D$45</definedName>
    <definedName name="_xlnm.Print_Area" localSheetId="1">Sheet!$C$7:$Q$55</definedName>
    <definedName name="Project">Information!$C$8</definedName>
    <definedName name="Sheet">Information!$C$11</definedName>
    <definedName name="Sheet.number" localSheetId="1">Sheet!$B$2</definedName>
    <definedName name="Show_totals">Information!$C$13</definedName>
    <definedName name="Start.Row">Information!$D$16</definedName>
    <definedName name="Table.rows" comment="Maximum rows in table">Information!$D$19</definedName>
    <definedName name="Time" localSheetId="1">Sheet!$C$5</definedName>
    <definedName name="Title">Information!$C$12</definedName>
    <definedName name="Total" comment="Total number of sheets">Information!$D$45</definedName>
    <definedName name="Totals" localSheetId="1">Sheet!$B$4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3" l="1"/>
  <c r="C26" i="3"/>
  <c r="C27" i="3"/>
  <c r="C28" i="3"/>
  <c r="C29" i="3"/>
  <c r="C30" i="3"/>
  <c r="C31" i="3"/>
  <c r="C32" i="3"/>
  <c r="C33" i="3"/>
  <c r="C34" i="3"/>
  <c r="C35" i="3"/>
  <c r="C36" i="3"/>
  <c r="C37" i="3"/>
  <c r="C38" i="3"/>
  <c r="C39" i="3"/>
  <c r="C40" i="3"/>
  <c r="C41" i="3"/>
  <c r="C42" i="3"/>
  <c r="C43" i="3"/>
  <c r="C44" i="3"/>
  <c r="D27" i="3"/>
  <c r="E20" i="3"/>
  <c r="G25" i="3"/>
  <c r="D28" i="3"/>
  <c r="D29" i="3"/>
  <c r="D41" i="3"/>
  <c r="D44" i="3"/>
  <c r="D39" i="3"/>
  <c r="D31" i="3"/>
  <c r="D43" i="3"/>
  <c r="D30" i="3"/>
  <c r="D37" i="3"/>
  <c r="D32" i="3"/>
  <c r="D33" i="3"/>
  <c r="D34" i="3"/>
  <c r="D35" i="3"/>
  <c r="D38" i="3"/>
  <c r="D40" i="3"/>
  <c r="D42" i="3"/>
  <c r="D36" i="3"/>
  <c r="J9" i="35" l="1"/>
  <c r="G26" i="3"/>
  <c r="C8" i="35" l="1"/>
  <c r="C49" i="35"/>
  <c r="D26" i="3"/>
  <c r="G27" i="3"/>
  <c r="P7" i="35" l="1" a="1"/>
  <c r="P7" i="35" s="1"/>
  <c r="E6" i="35"/>
  <c r="F6" i="35" s="1"/>
  <c r="G6" i="35" s="1"/>
  <c r="H6" i="35" s="1"/>
  <c r="I6" i="35" s="1"/>
  <c r="C5" i="35"/>
  <c r="C3" i="35"/>
  <c r="B3" i="35" s="1"/>
  <c r="M2" i="35"/>
  <c r="G28" i="3"/>
  <c r="A3" i="3" l="1"/>
  <c r="A4" i="3" s="1"/>
  <c r="G29" i="3"/>
  <c r="D25" i="3"/>
  <c r="D14" i="3"/>
  <c r="D16" i="3"/>
  <c r="E9" i="35" l="1"/>
  <c r="G30" i="3"/>
  <c r="D17" i="3"/>
  <c r="B2" i="35" l="1"/>
  <c r="D45" i="3"/>
  <c r="G31" i="3"/>
  <c r="F17" i="3"/>
  <c r="G32" i="3" l="1"/>
  <c r="F18" i="3"/>
  <c r="D18" i="3"/>
  <c r="D19" i="3" l="1"/>
  <c r="G33" i="3"/>
  <c r="E25" i="3" l="1"/>
  <c r="G34" i="3"/>
  <c r="F25" i="3" l="1"/>
  <c r="H25" i="3"/>
  <c r="A12" i="35"/>
  <c r="G35" i="3"/>
  <c r="S12" i="35" l="1"/>
  <c r="E26" i="3"/>
  <c r="I48" i="35"/>
  <c r="E48" i="35"/>
  <c r="H48" i="35"/>
  <c r="F48" i="35"/>
  <c r="A13" i="35"/>
  <c r="G48" i="35"/>
  <c r="G36" i="3"/>
  <c r="E21" i="35"/>
  <c r="H18" i="35"/>
  <c r="G24" i="35"/>
  <c r="G17" i="35"/>
  <c r="G13" i="35"/>
  <c r="H43" i="35"/>
  <c r="I15" i="35"/>
  <c r="E31" i="35"/>
  <c r="E14" i="35"/>
  <c r="H28" i="35"/>
  <c r="G26" i="35"/>
  <c r="E43" i="35"/>
  <c r="H15" i="35"/>
  <c r="F31" i="35"/>
  <c r="I38" i="35"/>
  <c r="G32" i="35"/>
  <c r="I29" i="35"/>
  <c r="G29" i="35"/>
  <c r="E24" i="35"/>
  <c r="I13" i="35"/>
  <c r="F42" i="35"/>
  <c r="F41" i="35"/>
  <c r="I31" i="35"/>
  <c r="F45" i="35"/>
  <c r="H20" i="35"/>
  <c r="G38" i="35"/>
  <c r="H46" i="35"/>
  <c r="H44" i="35"/>
  <c r="I33" i="35"/>
  <c r="F19" i="35"/>
  <c r="E41" i="35"/>
  <c r="H30" i="35"/>
  <c r="G36" i="35"/>
  <c r="E39" i="35"/>
  <c r="H16" i="35"/>
  <c r="E22" i="35"/>
  <c r="G44" i="35"/>
  <c r="E27" i="35"/>
  <c r="E32" i="35"/>
  <c r="H24" i="35"/>
  <c r="G15" i="35"/>
  <c r="G39" i="35"/>
  <c r="F28" i="35"/>
  <c r="H38" i="35"/>
  <c r="H29" i="35"/>
  <c r="I45" i="35"/>
  <c r="F37" i="35"/>
  <c r="G41" i="35"/>
  <c r="I40" i="35"/>
  <c r="F43" i="35"/>
  <c r="F30" i="35"/>
  <c r="G46" i="35"/>
  <c r="I22" i="35"/>
  <c r="E26" i="35"/>
  <c r="H27" i="35"/>
  <c r="F36" i="35"/>
  <c r="F23" i="35"/>
  <c r="I43" i="35"/>
  <c r="F13" i="35"/>
  <c r="I16" i="35"/>
  <c r="I32" i="35"/>
  <c r="E18" i="35"/>
  <c r="E17" i="35"/>
  <c r="H47" i="35"/>
  <c r="E19" i="35"/>
  <c r="F27" i="35"/>
  <c r="F18" i="35"/>
  <c r="H36" i="35"/>
  <c r="E29" i="35"/>
  <c r="H21" i="35"/>
  <c r="G42" i="35"/>
  <c r="G47" i="35"/>
  <c r="E28" i="35"/>
  <c r="G18" i="35"/>
  <c r="H40" i="35"/>
  <c r="G16" i="35"/>
  <c r="F22" i="35"/>
  <c r="I24" i="35"/>
  <c r="G43" i="35"/>
  <c r="I14" i="35"/>
  <c r="G19" i="35"/>
  <c r="F38" i="35"/>
  <c r="I30" i="35"/>
  <c r="G34" i="35"/>
  <c r="F17" i="35"/>
  <c r="H13" i="35"/>
  <c r="H37" i="35"/>
  <c r="F35" i="35"/>
  <c r="I47" i="35"/>
  <c r="H31" i="35"/>
  <c r="E36" i="35"/>
  <c r="H17" i="35"/>
  <c r="H39" i="35"/>
  <c r="F44" i="35"/>
  <c r="I39" i="35"/>
  <c r="H42" i="35"/>
  <c r="I28" i="35"/>
  <c r="I44" i="35"/>
  <c r="I26" i="35"/>
  <c r="G33" i="35"/>
  <c r="E33" i="35"/>
  <c r="I20" i="35"/>
  <c r="F32" i="35"/>
  <c r="H32" i="35"/>
  <c r="G27" i="35"/>
  <c r="G21" i="35"/>
  <c r="H14" i="35"/>
  <c r="E20" i="35"/>
  <c r="I19" i="35"/>
  <c r="F47" i="35"/>
  <c r="I27" i="35"/>
  <c r="I37" i="35"/>
  <c r="G30" i="35"/>
  <c r="F34" i="35"/>
  <c r="H25" i="35"/>
  <c r="G40" i="35"/>
  <c r="F21" i="35"/>
  <c r="E44" i="35"/>
  <c r="F16" i="35"/>
  <c r="G37" i="35"/>
  <c r="G14" i="35"/>
  <c r="H26" i="35"/>
  <c r="F26" i="35"/>
  <c r="I18" i="35"/>
  <c r="G20" i="35"/>
  <c r="I23" i="35"/>
  <c r="H23" i="35"/>
  <c r="F46" i="35"/>
  <c r="I21" i="35"/>
  <c r="G28" i="35"/>
  <c r="I35" i="35"/>
  <c r="E46" i="35"/>
  <c r="I25" i="35"/>
  <c r="H45" i="35"/>
  <c r="E25" i="35"/>
  <c r="E35" i="35"/>
  <c r="I42" i="35"/>
  <c r="G45" i="35"/>
  <c r="F14" i="35"/>
  <c r="E37" i="35"/>
  <c r="I17" i="35"/>
  <c r="E30" i="35"/>
  <c r="I36" i="35"/>
  <c r="H41" i="35"/>
  <c r="I46" i="35"/>
  <c r="F24" i="35"/>
  <c r="E45" i="35"/>
  <c r="E34" i="35"/>
  <c r="H33" i="35"/>
  <c r="E16" i="35"/>
  <c r="H35" i="35"/>
  <c r="F15" i="35"/>
  <c r="E47" i="35"/>
  <c r="H22" i="35"/>
  <c r="H34" i="35"/>
  <c r="E23" i="35"/>
  <c r="E38" i="35"/>
  <c r="F25" i="35"/>
  <c r="G35" i="35"/>
  <c r="E13" i="35"/>
  <c r="F29" i="35"/>
  <c r="G31" i="35"/>
  <c r="F40" i="35"/>
  <c r="G22" i="35"/>
  <c r="F20" i="35"/>
  <c r="G25" i="35"/>
  <c r="E42" i="35"/>
  <c r="F39" i="35"/>
  <c r="F33" i="35"/>
  <c r="E40" i="35"/>
  <c r="I34" i="35"/>
  <c r="G23" i="35"/>
  <c r="E15" i="35"/>
  <c r="I41" i="35"/>
  <c r="H19" i="35"/>
  <c r="O12" i="35" l="1"/>
  <c r="M48" i="35"/>
  <c r="L11" i="35"/>
  <c r="M12" i="35"/>
  <c r="N12" i="35"/>
  <c r="L12" i="35"/>
  <c r="K12" i="35"/>
  <c r="O48" i="35"/>
  <c r="L48" i="35"/>
  <c r="N48" i="35"/>
  <c r="K48" i="35"/>
  <c r="H26" i="3"/>
  <c r="F26" i="3"/>
  <c r="E27" i="3" s="1"/>
  <c r="G37" i="3"/>
  <c r="O29" i="35"/>
  <c r="K45" i="35"/>
  <c r="L17" i="35"/>
  <c r="K15" i="35"/>
  <c r="O46" i="35"/>
  <c r="O41" i="35"/>
  <c r="O19" i="35"/>
  <c r="O22" i="35"/>
  <c r="L40" i="35"/>
  <c r="O31" i="35"/>
  <c r="L30" i="35"/>
  <c r="O39" i="35"/>
  <c r="K30" i="35"/>
  <c r="K22" i="35"/>
  <c r="N16" i="35"/>
  <c r="N38" i="35"/>
  <c r="M45" i="35"/>
  <c r="M21" i="35"/>
  <c r="O15" i="35"/>
  <c r="K35" i="35"/>
  <c r="O20" i="35"/>
  <c r="M44" i="35"/>
  <c r="L23" i="35"/>
  <c r="N29" i="35"/>
  <c r="N39" i="35"/>
  <c r="K13" i="35"/>
  <c r="K21" i="35"/>
  <c r="M15" i="35"/>
  <c r="K19" i="35"/>
  <c r="M14" i="35"/>
  <c r="M19" i="35"/>
  <c r="K31" i="35"/>
  <c r="M31" i="35"/>
  <c r="N26" i="35"/>
  <c r="M27" i="35"/>
  <c r="M37" i="35"/>
  <c r="N18" i="35"/>
  <c r="N13" i="35"/>
  <c r="O38" i="35"/>
  <c r="M39" i="35"/>
  <c r="K44" i="35"/>
  <c r="N47" i="35"/>
  <c r="O37" i="35"/>
  <c r="K43" i="35"/>
  <c r="L31" i="35"/>
  <c r="M41" i="35"/>
  <c r="L26" i="35"/>
  <c r="O34" i="35"/>
  <c r="O36" i="35"/>
  <c r="M29" i="35"/>
  <c r="M36" i="35"/>
  <c r="N34" i="35"/>
  <c r="O26" i="35"/>
  <c r="M34" i="35"/>
  <c r="L38" i="35"/>
  <c r="L24" i="35"/>
  <c r="L27" i="35"/>
  <c r="N35" i="35"/>
  <c r="M38" i="35"/>
  <c r="K29" i="35"/>
  <c r="O23" i="35"/>
  <c r="L18" i="35"/>
  <c r="L19" i="35"/>
  <c r="L15" i="35"/>
  <c r="L47" i="35"/>
  <c r="L25" i="35"/>
  <c r="N15" i="35"/>
  <c r="N30" i="35"/>
  <c r="N14" i="35"/>
  <c r="O21" i="35"/>
  <c r="K39" i="35"/>
  <c r="O32" i="35"/>
  <c r="M22" i="35"/>
  <c r="N32" i="35"/>
  <c r="L42" i="35"/>
  <c r="M30" i="35"/>
  <c r="L35" i="35"/>
  <c r="N28" i="35"/>
  <c r="N19" i="35"/>
  <c r="K42" i="35"/>
  <c r="O16" i="35"/>
  <c r="M23" i="35"/>
  <c r="K32" i="35"/>
  <c r="K20" i="35"/>
  <c r="N20" i="35"/>
  <c r="L46" i="35"/>
  <c r="N42" i="35"/>
  <c r="N33" i="35"/>
  <c r="L45" i="35"/>
  <c r="N46" i="35"/>
  <c r="N45" i="35"/>
  <c r="K18" i="35"/>
  <c r="O27" i="35"/>
  <c r="N22" i="35"/>
  <c r="L32" i="35"/>
  <c r="O42" i="35"/>
  <c r="K33" i="35"/>
  <c r="L41" i="35"/>
  <c r="M43" i="35"/>
  <c r="K46" i="35"/>
  <c r="M20" i="35"/>
  <c r="L44" i="35"/>
  <c r="M25" i="35"/>
  <c r="O18" i="35"/>
  <c r="N23" i="35"/>
  <c r="L43" i="35"/>
  <c r="N40" i="35"/>
  <c r="O47" i="35"/>
  <c r="L28" i="35"/>
  <c r="L22" i="35"/>
  <c r="K36" i="35"/>
  <c r="M28" i="35"/>
  <c r="K16" i="35"/>
  <c r="L13" i="35"/>
  <c r="N44" i="35"/>
  <c r="M32" i="35"/>
  <c r="O44" i="35"/>
  <c r="M47" i="35"/>
  <c r="L36" i="35"/>
  <c r="M40" i="35"/>
  <c r="N41" i="35"/>
  <c r="N31" i="35"/>
  <c r="L14" i="35"/>
  <c r="K34" i="35"/>
  <c r="K41" i="35"/>
  <c r="N27" i="35"/>
  <c r="O14" i="35"/>
  <c r="K24" i="35"/>
  <c r="N43" i="35"/>
  <c r="M16" i="35"/>
  <c r="L33" i="35"/>
  <c r="L37" i="35"/>
  <c r="K17" i="35"/>
  <c r="L20" i="35"/>
  <c r="M26" i="35"/>
  <c r="O28" i="35"/>
  <c r="M42" i="35"/>
  <c r="O43" i="35"/>
  <c r="O13" i="35"/>
  <c r="M13" i="35"/>
  <c r="M46" i="35"/>
  <c r="L39" i="35"/>
  <c r="N24" i="35"/>
  <c r="O45" i="35"/>
  <c r="L16" i="35"/>
  <c r="K27" i="35"/>
  <c r="M18" i="35"/>
  <c r="M17" i="35"/>
  <c r="L21" i="35"/>
  <c r="K14" i="35"/>
  <c r="O17" i="35"/>
  <c r="O33" i="35"/>
  <c r="N17" i="35"/>
  <c r="K25" i="35"/>
  <c r="L34" i="35"/>
  <c r="O30" i="35"/>
  <c r="M33" i="35"/>
  <c r="N36" i="35"/>
  <c r="O35" i="35"/>
  <c r="K23" i="35"/>
  <c r="K28" i="35"/>
  <c r="O40" i="35"/>
  <c r="K38" i="35"/>
  <c r="N21" i="35"/>
  <c r="N37" i="35"/>
  <c r="N25" i="35"/>
  <c r="O24" i="35"/>
  <c r="O25" i="35"/>
  <c r="M35" i="35"/>
  <c r="K40" i="35"/>
  <c r="K26" i="35"/>
  <c r="K37" i="35"/>
  <c r="K47" i="35"/>
  <c r="L29" i="35"/>
  <c r="M24" i="35"/>
  <c r="F27" i="3" l="1"/>
  <c r="E28" i="3" s="1"/>
  <c r="H27" i="3"/>
  <c r="G38" i="3"/>
  <c r="F28" i="3" l="1"/>
  <c r="E29" i="3" s="1"/>
  <c r="H28" i="3"/>
  <c r="G39" i="3"/>
  <c r="H29" i="3" l="1"/>
  <c r="F29" i="3"/>
  <c r="E30" i="3" s="1"/>
  <c r="G40" i="3"/>
  <c r="H30" i="3" l="1"/>
  <c r="F30" i="3"/>
  <c r="E31" i="3" s="1"/>
  <c r="G41" i="3"/>
  <c r="H31" i="3" l="1"/>
  <c r="F31" i="3"/>
  <c r="E32" i="3" s="1"/>
  <c r="G42" i="3"/>
  <c r="H32" i="3" l="1"/>
  <c r="F32" i="3"/>
  <c r="E33" i="3" s="1"/>
  <c r="G43" i="3"/>
  <c r="H33" i="3" l="1"/>
  <c r="F33" i="3"/>
  <c r="E34" i="3" s="1"/>
  <c r="G44" i="3"/>
  <c r="H34" i="3" l="1"/>
  <c r="F34" i="3"/>
  <c r="E35" i="3" s="1"/>
  <c r="H35" i="3" l="1"/>
  <c r="F35" i="3"/>
  <c r="E36" i="3" s="1"/>
  <c r="H36" i="3" l="1"/>
  <c r="F36" i="3"/>
  <c r="E37" i="3" s="1"/>
  <c r="H37" i="3" l="1"/>
  <c r="F37" i="3"/>
  <c r="E38" i="3" s="1"/>
  <c r="H38" i="3" l="1"/>
  <c r="F38" i="3"/>
  <c r="E39" i="3" s="1"/>
  <c r="H39" i="3" l="1"/>
  <c r="F39" i="3"/>
  <c r="E40" i="3" s="1"/>
  <c r="H40" i="3" l="1"/>
  <c r="F40" i="3"/>
  <c r="E41" i="3" s="1"/>
  <c r="H41" i="3" l="1"/>
  <c r="F41" i="3"/>
  <c r="E42" i="3" s="1"/>
  <c r="H42" i="3" l="1"/>
  <c r="F42" i="3"/>
  <c r="E43" i="3" s="1"/>
  <c r="H43" i="3" l="1"/>
  <c r="F43" i="3"/>
  <c r="E44" i="3" s="1"/>
  <c r="H44" i="3" l="1"/>
  <c r="F44" i="3"/>
  <c r="D11" i="3"/>
  <c r="B4" i="35" s="1"/>
  <c r="E45" i="3"/>
  <c r="G45"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<sst xmlns="http://schemas.openxmlformats.org/spreadsheetml/2006/main" count="164" uniqueCount="58">
  <si>
    <t>Project:</t>
  </si>
  <si>
    <t>Filename</t>
  </si>
  <si>
    <t>Sheet Information</t>
  </si>
  <si>
    <t>Time</t>
  </si>
  <si>
    <t>Information</t>
  </si>
  <si>
    <r>
      <t>Note:</t>
    </r>
    <r>
      <rPr>
        <sz val="10"/>
        <rFont val="Verdana"/>
        <family val="2"/>
      </rPr>
      <t xml:space="preserve">  If there is more than one project number, use &lt;ALT&gt;&lt;ENTER&gt; to insert page break for additional lines.</t>
    </r>
  </si>
  <si>
    <t xml:space="preserve">Insert the following values.  They will appear on every sheet. </t>
  </si>
  <si>
    <t>Revised:</t>
  </si>
  <si>
    <t>Common Sheet Information</t>
  </si>
  <si>
    <t>POINT
NUMBER</t>
  </si>
  <si>
    <t>NORTH</t>
  </si>
  <si>
    <t>EAST</t>
  </si>
  <si>
    <t>ELEVATION</t>
  </si>
  <si>
    <t>DESCRIPTION</t>
  </si>
  <si>
    <t>A</t>
  </si>
  <si>
    <t>Sheet Names</t>
  </si>
  <si>
    <t>Input the names of the worksheets in the order you would like the sheets numbered.</t>
  </si>
  <si>
    <t>Sheet</t>
  </si>
  <si>
    <t>First sheet #:</t>
  </si>
  <si>
    <t>Base sheet name:</t>
  </si>
  <si>
    <t>Sheet num:</t>
  </si>
  <si>
    <t>Sheet name:</t>
  </si>
  <si>
    <t>Reference:</t>
  </si>
  <si>
    <t>Show Totals?</t>
  </si>
  <si>
    <t>Data location:</t>
  </si>
  <si>
    <t>Data begins in col:</t>
  </si>
  <si>
    <t>rows w/data</t>
  </si>
  <si>
    <t>data rows</t>
  </si>
  <si>
    <t>Min. rows/table</t>
  </si>
  <si>
    <t>Max. row/table</t>
  </si>
  <si>
    <t>rows/table</t>
  </si>
  <si>
    <t>Begin Column:</t>
  </si>
  <si>
    <t>This file transfers the Survey Control point list (in Excel format) to an Excel plan sheet.  Open the point list files in Excel.  Select the tab at the bottom of the worksheet and drag it to this spreadsheet.  It will become a new tab.  Place the name of this tab in the "Data Location" block below.  The Survey Control point list will appear.</t>
  </si>
  <si>
    <t xml:space="preserve">If extra sheets are needed, copy the original plan sheet by holding the left mouse button on the worksheet's tab (below) and hold the &lt;CTRL&gt;key.  A mini sheet with a plus sign should appear.  Drag this and drop it to the desired location.  </t>
  </si>
  <si>
    <t>SURVEY CONTROL</t>
  </si>
  <si>
    <t>Title block text:</t>
  </si>
  <si>
    <t>Total Sheets:</t>
  </si>
  <si>
    <t>Notes</t>
  </si>
  <si>
    <t xml:space="preserve">NPS PMIS No. </t>
  </si>
  <si>
    <t xml:space="preserve">NPS Drwg No. </t>
  </si>
  <si>
    <t>D.1</t>
  </si>
  <si>
    <r>
      <rPr>
        <b/>
        <sz val="10"/>
        <rFont val="Verdana"/>
        <family val="2"/>
      </rPr>
      <t>Note:</t>
    </r>
    <r>
      <rPr>
        <sz val="10"/>
        <rFont val="Verdana"/>
        <family val="2"/>
      </rPr>
      <t xml:space="preserve"> NPS fields do not appear on the sheet unless additional text is added.</t>
    </r>
  </si>
  <si>
    <t>WY NPS YELL 10(25)</t>
  </si>
  <si>
    <t xml:space="preserve">PROJECT : xxxxxxx HIGHWAY 
DATE OF FIELD WORK : ???
DATE OF FINAL ADJUSTMENT : ???
COORDINATE SYSTEM : Assumed
VERTICAL DATUM : Assumed
PROJECT UNITS : US SURVEY FOOT
</t>
  </si>
  <si>
    <t>PROJECT COORDINATES</t>
  </si>
  <si>
    <t>1/2" IR w/ yellow FHWA plastic cap</t>
  </si>
  <si>
    <t>5/8" IR w/ 2" Aluminum FHWA cap</t>
  </si>
  <si>
    <t>5/8" IR w/ Orange FHWA plastic cap</t>
  </si>
  <si>
    <t>Assumed Data</t>
  </si>
  <si>
    <t>Worksheet</t>
  </si>
  <si>
    <t>Number</t>
  </si>
  <si>
    <t>Header1</t>
  </si>
  <si>
    <t>Header2</t>
  </si>
  <si>
    <t>B</t>
  </si>
  <si>
    <t>C</t>
  </si>
  <si>
    <t>D</t>
  </si>
  <si>
    <t>E</t>
  </si>
  <si>
    <t>Survey Control Sheet (Assumed)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</si>
</sst>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d\ mmmm\ yyyy"/>
    <numFmt numFmtId="166" formatCode="0.000"/>
    <numFmt numFmtId="167" formatCode="&quot;Header on row &quot;General"/>
    <numFmt numFmtId="168" formatCode="&quot;(Space found @ row &quot;General&quot;)&quot;"/>
    <numFmt numFmtId="169" formatCode="General&quot; sheet(s) needed&quot;"/>
  </numFmts>
  <fonts count="26" x14ac:knownFonts="1">
    <font>
      <sz val="8"/>
      <name val="Verdana"/>
      <family val="2"/>
    </font>
    <font>
      <sz val="8"/>
      <name val="Verdana"/>
      <family val="2"/>
    </font>
    <font>
      <b/>
      <u/>
      <sz val="10"/>
      <name val="Verdana"/>
      <family val="2"/>
    </font>
    <font>
      <u/>
      <sz val="8"/>
      <name val="Verdana"/>
      <family val="2"/>
    </font>
    <font>
      <sz val="10"/>
      <name val="Verdana"/>
      <family val="2"/>
    </font>
    <font>
      <sz val="14"/>
      <name val="Verdana"/>
      <family val="2"/>
    </font>
    <font>
      <b/>
      <sz val="10"/>
      <name val="Verdana"/>
      <family val="2"/>
    </font>
    <font>
      <sz val="8"/>
      <name val="Verdana"/>
      <family val="2"/>
    </font>
    <font>
      <sz val="12"/>
      <name val="Times New Roman"/>
      <family val="1"/>
    </font>
    <font>
      <sz val="12"/>
      <name val="Verdana"/>
      <family val="2"/>
    </font>
    <font>
      <b/>
      <sz val="8"/>
      <name val="Verdana"/>
      <family val="2"/>
    </font>
    <font>
      <i/>
      <sz val="10"/>
      <name val="Verdana"/>
      <family val="2"/>
    </font>
    <font>
      <sz val="8"/>
      <color indexed="12"/>
      <name val="Verdana"/>
      <family val="2"/>
    </font>
    <font>
      <b/>
      <sz val="8"/>
      <color indexed="12"/>
      <name val="Verdana"/>
      <family val="2"/>
    </font>
    <font>
      <b/>
      <sz val="8"/>
      <color indexed="10"/>
      <name val="Verdana"/>
      <family val="2"/>
    </font>
    <font>
      <i/>
      <sz val="8"/>
      <name val="Verdana"/>
      <family val="2"/>
    </font>
    <font>
      <i/>
      <sz val="12"/>
      <name val="Verdana"/>
      <family val="2"/>
    </font>
    <font>
      <b/>
      <i/>
      <sz val="8"/>
      <name val="Verdana"/>
      <family val="2"/>
    </font>
    <font>
      <sz val="6"/>
      <name val="Verdana"/>
      <family val="2"/>
    </font>
    <font>
      <i/>
      <sz val="6"/>
      <name val="Verdana"/>
      <family val="2"/>
    </font>
    <font>
      <sz val="5.5"/>
      <name val="Verdana"/>
      <family val="2"/>
    </font>
    <font>
      <i/>
      <sz val="10.5"/>
      <name val="Verdana"/>
      <family val="2"/>
    </font>
    <font>
      <i/>
      <sz val="9"/>
      <name val="Verdana"/>
      <family val="2"/>
    </font>
    <font>
      <sz val="16"/>
      <name val="Verdana"/>
      <family val="2"/>
    </font>
    <font>
      <b/>
      <sz val="20"/>
      <name val="Verdana"/>
      <family val="2"/>
    </font>
    <font>
      <sz val="30"/>
      <name val="Verdana"/>
      <family val="2"/>
    </font>
  </fonts>
  <fills count="5">
    <fill>
      <patternFill patternType="none"/>
    </fill>
    <fill>
      <patternFill patternType="gray125"/>
    </fill>
    <fill>
      <patternFill patternType="solid">
        <fgColor indexed="13"/>
        <bgColor indexed="64"/>
      </patternFill>
    </fill>
    <fill>
      <patternFill patternType="solid">
        <fgColor indexed="26"/>
        <bgColor indexed="64"/>
      </patternFill>
    </fill>
    <fill>
      <patternFill patternType="solid">
        <fgColor rgb="FFFFFFCC"/>
        <bgColor indexed="64"/>
      </patternFill>
    </fill>
  </fills>
  <borders count="29">
    <border>
      <left/>
      <right/>
      <top/>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18"/>
      </right>
      <top/>
      <bottom/>
      <diagonal/>
    </border>
    <border>
      <left style="thin">
        <color indexed="18"/>
      </left>
      <right/>
      <top/>
      <bottom/>
      <diagonal/>
    </border>
    <border>
      <left style="thin">
        <color indexed="64"/>
      </left>
      <right/>
      <top/>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xf numFmtId="0" fontId="1" fillId="0" borderId="0"/>
    <xf numFmtId="0" fontId="8" fillId="0" borderId="0"/>
  </cellStyleXfs>
  <cellXfs count="123">
    <xf numFmtId="0" fontId="0" fillId="0" borderId="0" xfId="0"/>
    <xf numFmtId="0" fontId="1" fillId="0" borderId="0" xfId="0" applyFont="1"/>
    <xf numFmtId="22" fontId="1" fillId="0" borderId="0" xfId="0" applyNumberFormat="1" applyFont="1"/>
    <xf numFmtId="0" fontId="2" fillId="0" borderId="0" xfId="0" applyFont="1"/>
    <xf numFmtId="0" fontId="3" fillId="0" borderId="0" xfId="0" applyFont="1"/>
    <xf numFmtId="0" fontId="4" fillId="0" borderId="0" xfId="0" applyFont="1"/>
    <xf numFmtId="0" fontId="5" fillId="0" borderId="0" xfId="0" applyFont="1"/>
    <xf numFmtId="164" fontId="4" fillId="0" borderId="0" xfId="0" applyNumberFormat="1" applyFont="1" applyAlignment="1">
      <alignment horizontal="right" vertical="top"/>
    </xf>
    <xf numFmtId="0" fontId="0" fillId="0" borderId="0" xfId="0" applyAlignment="1">
      <alignment horizontal="right"/>
    </xf>
    <xf numFmtId="165" fontId="0" fillId="0" borderId="0" xfId="0" applyNumberFormat="1" applyAlignment="1">
      <alignment horizontal="left"/>
    </xf>
    <xf numFmtId="0" fontId="0" fillId="0" borderId="0" xfId="0" applyAlignment="1">
      <alignment horizontal="center"/>
    </xf>
    <xf numFmtId="0" fontId="0" fillId="0" borderId="0" xfId="0" applyAlignment="1"/>
    <xf numFmtId="0" fontId="4" fillId="0" borderId="0" xfId="0" applyFont="1" applyAlignment="1">
      <alignment horizontal="right"/>
    </xf>
    <xf numFmtId="0" fontId="0" fillId="0" borderId="0" xfId="0" applyAlignment="1">
      <alignment horizontal="left" indent="1"/>
    </xf>
    <xf numFmtId="0" fontId="5"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right" vertical="center"/>
    </xf>
    <xf numFmtId="0" fontId="12" fillId="0" borderId="0" xfId="0" applyFont="1" applyFill="1" applyBorder="1" applyAlignment="1" applyProtection="1">
      <alignment horizontal="center" vertical="center"/>
    </xf>
    <xf numFmtId="0" fontId="13" fillId="0" borderId="0" xfId="0" applyFont="1" applyAlignment="1">
      <alignment horizontal="center" vertical="center"/>
    </xf>
    <xf numFmtId="0" fontId="12" fillId="0" borderId="0" xfId="0" applyFont="1" applyAlignment="1">
      <alignment horizontal="center"/>
    </xf>
    <xf numFmtId="167" fontId="0" fillId="0" borderId="0" xfId="0" applyNumberFormat="1" applyAlignment="1">
      <alignment horizontal="center"/>
    </xf>
    <xf numFmtId="0" fontId="0" fillId="0" borderId="0" xfId="0" quotePrefix="1"/>
    <xf numFmtId="0" fontId="4" fillId="0" borderId="0" xfId="0" applyFont="1" applyAlignment="1">
      <alignment horizontal="center"/>
    </xf>
    <xf numFmtId="0" fontId="4" fillId="0" borderId="0" xfId="0" applyFont="1" applyAlignment="1">
      <alignment horizontal="centerContinuous" wrapText="1"/>
    </xf>
    <xf numFmtId="0" fontId="4" fillId="3" borderId="1" xfId="0" applyFont="1" applyFill="1" applyBorder="1" applyAlignment="1" applyProtection="1">
      <alignment horizontal="center"/>
      <protection locked="0"/>
    </xf>
    <xf numFmtId="0" fontId="14" fillId="0" borderId="0" xfId="0" applyFont="1" applyAlignment="1">
      <alignment horizontal="centerContinuous"/>
    </xf>
    <xf numFmtId="0" fontId="0" fillId="0" borderId="0" xfId="0" applyAlignment="1">
      <alignment vertical="top"/>
    </xf>
    <xf numFmtId="0" fontId="4" fillId="4" borderId="1" xfId="0" applyFont="1" applyFill="1" applyBorder="1" applyAlignment="1" applyProtection="1">
      <alignment horizontal="center"/>
      <protection locked="0"/>
    </xf>
    <xf numFmtId="0" fontId="4" fillId="0" borderId="0" xfId="0" applyFont="1" applyAlignment="1">
      <alignment wrapText="1"/>
    </xf>
    <xf numFmtId="0" fontId="4" fillId="0" borderId="0" xfId="0" applyFont="1" applyAlignment="1"/>
    <xf numFmtId="169" fontId="0" fillId="0" borderId="0" xfId="0" applyNumberFormat="1"/>
    <xf numFmtId="0" fontId="15" fillId="0" borderId="0" xfId="0" applyFont="1"/>
    <xf numFmtId="0" fontId="15" fillId="0" borderId="0" xfId="0" applyFont="1" applyProtection="1">
      <protection locked="0"/>
    </xf>
    <xf numFmtId="0" fontId="15" fillId="0" borderId="0" xfId="0" applyFont="1" applyAlignment="1">
      <alignment vertical="top"/>
    </xf>
    <xf numFmtId="0" fontId="15" fillId="0" borderId="3" xfId="0" applyFont="1" applyBorder="1"/>
    <xf numFmtId="0" fontId="15" fillId="0" borderId="4" xfId="0" applyFont="1" applyBorder="1"/>
    <xf numFmtId="0" fontId="17" fillId="0" borderId="5" xfId="0" applyFont="1" applyBorder="1" applyAlignment="1">
      <alignment horizontal="center" vertical="center" wrapText="1"/>
    </xf>
    <xf numFmtId="0" fontId="17" fillId="0" borderId="2" xfId="0" applyFont="1" applyBorder="1" applyAlignment="1">
      <alignment horizontal="center" vertical="center"/>
    </xf>
    <xf numFmtId="0" fontId="17" fillId="0" borderId="6" xfId="0" applyFont="1" applyBorder="1" applyAlignment="1">
      <alignment horizontal="left" vertical="center" indent="1"/>
    </xf>
    <xf numFmtId="0" fontId="15" fillId="0" borderId="15" xfId="0" applyFont="1" applyBorder="1" applyAlignment="1">
      <alignment horizontal="center" vertical="center"/>
    </xf>
    <xf numFmtId="166" fontId="15" fillId="0" borderId="16" xfId="0" applyNumberFormat="1" applyFont="1" applyBorder="1" applyAlignment="1">
      <alignment horizontal="center" vertical="center"/>
    </xf>
    <xf numFmtId="0" fontId="15" fillId="0" borderId="17" xfId="0" applyFont="1" applyBorder="1" applyAlignment="1">
      <alignment horizontal="left" vertical="center" indent="1"/>
    </xf>
    <xf numFmtId="0" fontId="18" fillId="0" borderId="0" xfId="0" applyFont="1"/>
    <xf numFmtId="0" fontId="18" fillId="0" borderId="0" xfId="0" applyFont="1" applyAlignment="1">
      <alignment horizontal="right"/>
    </xf>
    <xf numFmtId="0" fontId="18" fillId="0" borderId="0" xfId="0" applyFont="1" applyAlignment="1">
      <alignment horizontal="center"/>
    </xf>
    <xf numFmtId="0" fontId="4" fillId="0" borderId="18" xfId="1" applyFont="1" applyBorder="1" applyAlignment="1">
      <alignment horizontal="right" vertical="center"/>
    </xf>
    <xf numFmtId="0" fontId="4" fillId="2" borderId="1" xfId="0" applyFont="1" applyFill="1" applyBorder="1" applyAlignment="1" applyProtection="1">
      <alignment horizontal="left" vertical="center" wrapText="1"/>
      <protection locked="0"/>
    </xf>
    <xf numFmtId="0" fontId="0" fillId="0" borderId="0" xfId="0" applyAlignment="1">
      <alignment horizontal="right"/>
    </xf>
    <xf numFmtId="0" fontId="9" fillId="0" borderId="0" xfId="0" applyFont="1" applyBorder="1" applyAlignment="1">
      <alignment horizontal="right" vertical="top" wrapText="1"/>
    </xf>
    <xf numFmtId="0" fontId="9" fillId="0" borderId="0" xfId="0" applyFont="1"/>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0" borderId="0" xfId="0" applyFont="1" applyAlignment="1">
      <alignment horizontal="right" vertical="center"/>
    </xf>
    <xf numFmtId="0" fontId="19" fillId="0" borderId="0" xfId="0" applyFont="1" applyProtection="1">
      <protection locked="0"/>
    </xf>
    <xf numFmtId="0" fontId="19" fillId="0" borderId="0" xfId="0" applyFont="1"/>
    <xf numFmtId="0" fontId="15" fillId="0" borderId="0" xfId="0" applyFont="1" applyAlignment="1" applyProtection="1">
      <alignment vertical="top" wrapText="1"/>
      <protection locked="0"/>
    </xf>
    <xf numFmtId="0" fontId="15" fillId="0" borderId="0" xfId="0" applyFont="1" applyBorder="1" applyAlignment="1">
      <alignment horizontal="center" vertical="center"/>
    </xf>
    <xf numFmtId="166" fontId="15"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left" vertical="center" indent="1"/>
    </xf>
    <xf numFmtId="0" fontId="16" fillId="0" borderId="0" xfId="0" applyFont="1" applyProtection="1">
      <protection locked="0"/>
    </xf>
    <xf numFmtId="0" fontId="0" fillId="0" borderId="0" xfId="0" applyFont="1"/>
    <xf numFmtId="0" fontId="15" fillId="0" borderId="0" xfId="0" applyFont="1" applyBorder="1" applyProtection="1">
      <protection locked="0"/>
    </xf>
    <xf numFmtId="0" fontId="15" fillId="0" borderId="0" xfId="0" applyFont="1" applyBorder="1"/>
    <xf numFmtId="0" fontId="16" fillId="0" borderId="0" xfId="0" applyFont="1"/>
    <xf numFmtId="0" fontId="16" fillId="0" borderId="0" xfId="0" applyFont="1" applyBorder="1" applyProtection="1">
      <protection locked="0"/>
    </xf>
    <xf numFmtId="164" fontId="16" fillId="0" borderId="0" xfId="0" applyNumberFormat="1" applyFont="1" applyAlignment="1" applyProtection="1">
      <alignment vertical="top"/>
      <protection locked="0"/>
    </xf>
    <xf numFmtId="164" fontId="16" fillId="0" borderId="0" xfId="0" applyNumberFormat="1" applyFont="1" applyProtection="1">
      <protection locked="0"/>
    </xf>
    <xf numFmtId="0" fontId="22" fillId="0" borderId="0" xfId="0" applyFont="1" applyProtection="1">
      <protection locked="0"/>
    </xf>
    <xf numFmtId="0" fontId="11" fillId="0" borderId="0" xfId="0" applyFont="1" applyAlignment="1">
      <alignment horizontal="left" vertical="top" wrapText="1"/>
    </xf>
    <xf numFmtId="0" fontId="21" fillId="0" borderId="0" xfId="0" applyFont="1" applyBorder="1" applyProtection="1">
      <protection locked="0"/>
    </xf>
    <xf numFmtId="0" fontId="8" fillId="0" borderId="0" xfId="2"/>
    <xf numFmtId="0" fontId="1" fillId="0" borderId="0" xfId="2" applyFont="1" applyAlignment="1">
      <alignment vertical="center"/>
    </xf>
    <xf numFmtId="0" fontId="10" fillId="0" borderId="0" xfId="2" applyFont="1" applyAlignment="1">
      <alignment horizontal="center" vertical="center" wrapText="1"/>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10" fillId="0" borderId="0" xfId="2" applyFont="1" applyAlignment="1">
      <alignment horizontal="center" vertical="center"/>
    </xf>
    <xf numFmtId="0" fontId="1" fillId="0" borderId="22" xfId="2" applyFont="1" applyBorder="1" applyAlignment="1">
      <alignment horizontal="center" vertical="center"/>
    </xf>
    <xf numFmtId="166" fontId="1" fillId="0" borderId="23" xfId="2" applyNumberFormat="1" applyFont="1" applyBorder="1" applyAlignment="1">
      <alignment horizontal="center" vertical="center"/>
    </xf>
    <xf numFmtId="166" fontId="8" fillId="0" borderId="11" xfId="2" applyNumberFormat="1" applyBorder="1"/>
    <xf numFmtId="0" fontId="1" fillId="0" borderId="24" xfId="2" applyFont="1" applyBorder="1" applyAlignment="1">
      <alignment horizontal="center" vertical="center"/>
    </xf>
    <xf numFmtId="0" fontId="1" fillId="0" borderId="10" xfId="2" applyFont="1" applyBorder="1" applyAlignment="1">
      <alignment horizontal="center" vertical="center"/>
    </xf>
    <xf numFmtId="166" fontId="1" fillId="0" borderId="11" xfId="2" applyNumberFormat="1" applyFont="1" applyBorder="1" applyAlignment="1">
      <alignment horizontal="center" vertical="center"/>
    </xf>
    <xf numFmtId="0" fontId="1" fillId="0" borderId="25" xfId="2" applyFont="1" applyBorder="1" applyAlignment="1">
      <alignment horizontal="center" vertical="center"/>
    </xf>
    <xf numFmtId="0" fontId="1" fillId="0" borderId="11" xfId="2" applyFont="1" applyBorder="1" applyAlignment="1">
      <alignment horizontal="center" vertical="center"/>
    </xf>
    <xf numFmtId="0" fontId="1" fillId="0" borderId="10"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25" xfId="2" applyFont="1" applyBorder="1" applyAlignment="1">
      <alignment horizontal="center" vertical="center" wrapText="1"/>
    </xf>
    <xf numFmtId="0" fontId="1" fillId="0" borderId="10" xfId="2" quotePrefix="1" applyFont="1" applyBorder="1" applyAlignment="1">
      <alignment horizontal="center" vertical="center"/>
    </xf>
    <xf numFmtId="0" fontId="1" fillId="0" borderId="26" xfId="2" applyFont="1" applyBorder="1" applyAlignment="1">
      <alignment horizontal="center" vertical="center"/>
    </xf>
    <xf numFmtId="0" fontId="1" fillId="0" borderId="27" xfId="2" applyFont="1" applyBorder="1" applyAlignment="1">
      <alignment horizontal="center" vertical="center"/>
    </xf>
    <xf numFmtId="0" fontId="1" fillId="0" borderId="28" xfId="2" applyFont="1" applyBorder="1" applyAlignment="1">
      <alignment horizontal="center" vertical="center"/>
    </xf>
    <xf numFmtId="0" fontId="0" fillId="0" borderId="0" xfId="0" applyFill="1"/>
    <xf numFmtId="0" fontId="11" fillId="0" borderId="0" xfId="0" applyFont="1" applyAlignment="1">
      <alignment horizontal="left" vertical="top"/>
    </xf>
    <xf numFmtId="0" fontId="23" fillId="0" borderId="0" xfId="0" applyFont="1"/>
    <xf numFmtId="0" fontId="24" fillId="0" borderId="0" xfId="0" applyFont="1" applyAlignment="1">
      <alignment horizontal="left" vertical="center" indent="1"/>
    </xf>
    <xf numFmtId="0" fontId="25" fillId="0" borderId="0" xfId="0" applyFont="1"/>
    <xf numFmtId="0" fontId="1"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4" fillId="0" borderId="0" xfId="0" applyFont="1" applyAlignment="1">
      <alignment vertical="top" wrapText="1"/>
    </xf>
    <xf numFmtId="0" fontId="7" fillId="0" borderId="0" xfId="0" applyFont="1" applyAlignment="1">
      <alignment vertical="top" wrapText="1"/>
    </xf>
    <xf numFmtId="168" fontId="0" fillId="0" borderId="0" xfId="0" applyNumberFormat="1" applyAlignment="1">
      <alignment horizontal="right"/>
    </xf>
    <xf numFmtId="0" fontId="0" fillId="0" borderId="0" xfId="0" applyAlignment="1">
      <alignment horizontal="right"/>
    </xf>
    <xf numFmtId="0" fontId="4" fillId="0" borderId="19" xfId="0" applyFont="1" applyBorder="1" applyAlignment="1">
      <alignment horizontal="left" vertical="center" wrapText="1" indent="1"/>
    </xf>
    <xf numFmtId="0" fontId="4" fillId="0" borderId="0" xfId="0" applyFont="1" applyAlignment="1">
      <alignment horizontal="left" vertical="center" wrapText="1" indent="1"/>
    </xf>
    <xf numFmtId="0" fontId="6" fillId="0" borderId="19" xfId="0" applyFont="1" applyBorder="1" applyAlignment="1">
      <alignment horizontal="left" vertical="center" wrapText="1" indent="1"/>
    </xf>
    <xf numFmtId="0" fontId="6" fillId="0" borderId="0" xfId="0" applyFont="1" applyBorder="1" applyAlignment="1">
      <alignment horizontal="left" vertical="center" wrapText="1" indent="1"/>
    </xf>
    <xf numFmtId="0" fontId="20" fillId="0" borderId="0" xfId="0" applyFont="1" applyAlignment="1">
      <alignment textRotation="90"/>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67" fontId="0" fillId="0" borderId="0" xfId="0" applyNumberFormat="1" applyFill="1" applyAlignment="1">
      <alignment horizontal="left"/>
    </xf>
    <xf numFmtId="0" fontId="0" fillId="0" borderId="0" xfId="0" applyFill="1" applyAlignment="1">
      <alignment horizontal="left"/>
    </xf>
    <xf numFmtId="167" fontId="0" fillId="0" borderId="0" xfId="0" applyNumberFormat="1" applyAlignment="1"/>
    <xf numFmtId="0" fontId="0" fillId="0" borderId="0" xfId="0" applyAlignment="1"/>
    <xf numFmtId="0" fontId="15" fillId="0" borderId="0" xfId="0" quotePrefix="1" applyFont="1" applyAlignment="1">
      <alignment vertical="top" wrapText="1"/>
    </xf>
    <xf numFmtId="0" fontId="15" fillId="0" borderId="0" xfId="0" applyFont="1" applyAlignment="1">
      <alignment vertical="top" wrapText="1"/>
    </xf>
    <xf numFmtId="0" fontId="1" fillId="0" borderId="0" xfId="2" applyFont="1" applyAlignment="1">
      <alignment vertical="center" wrapText="1"/>
    </xf>
    <xf numFmtId="0" fontId="10" fillId="0" borderId="20" xfId="2" applyFont="1" applyBorder="1" applyAlignment="1">
      <alignment horizontal="center" vertical="center"/>
    </xf>
    <xf numFmtId="0" fontId="10" fillId="0" borderId="0" xfId="2" applyFont="1" applyAlignment="1">
      <alignment horizontal="center" vertical="center"/>
    </xf>
    <xf numFmtId="0" fontId="10" fillId="0" borderId="21" xfId="2" applyFont="1" applyBorder="1" applyAlignment="1">
      <alignment horizontal="center" vertical="center"/>
    </xf>
  </cellXfs>
  <cellStyles count="3">
    <cellStyle name="Normal" xfId="0" builtinId="0"/>
    <cellStyle name="Normal_Estimate1" xfId="1" xr:uid="{1995140D-FA39-42CB-B09B-D23503FEB932}"/>
    <cellStyle name="Normal_Example-Assumed" xfId="2" xr:uid="{B9BCC8D1-5082-4BF4-8251-412FCFB9406C}"/>
  </cellStyles>
  <dxfs count="39">
    <dxf>
      <border>
        <bottom style="thin">
          <color rgb="FFC0C0C0"/>
        </bottom>
        <vertical/>
        <horizontal/>
      </border>
    </dxf>
    <dxf>
      <border>
        <left/>
        <right/>
        <bottom/>
      </border>
    </dxf>
    <dxf>
      <border>
        <left/>
        <right/>
        <top/>
        <bottom/>
        <vertical/>
        <horizontal/>
      </border>
    </dxf>
    <dxf>
      <border>
        <bottom style="thin">
          <color rgb="FFC0C0C0"/>
        </bottom>
        <vertical/>
        <horizontal/>
      </border>
    </dxf>
    <dxf>
      <border>
        <left/>
        <right/>
        <bottom/>
        <vertical/>
        <horizontal/>
      </border>
    </dxf>
    <dxf>
      <fill>
        <patternFill>
          <bgColor theme="0" tint="-4.9989318521683403E-2"/>
        </patternFill>
      </fill>
    </dxf>
    <dxf>
      <font>
        <b val="0"/>
        <i val="0"/>
        <strike val="0"/>
        <condense val="0"/>
        <extend val="0"/>
        <outline val="0"/>
        <shadow val="0"/>
        <u val="none"/>
        <vertAlign val="baseline"/>
        <sz val="10"/>
        <color auto="1"/>
        <name val="Verdana"/>
        <family val="2"/>
        <scheme val="none"/>
      </font>
    </dxf>
    <dxf>
      <font>
        <strike val="0"/>
        <outline val="0"/>
        <shadow val="0"/>
        <u val="none"/>
        <vertAlign val="baseline"/>
        <sz val="10"/>
        <color auto="1"/>
        <name val="Verdana"/>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auto="1"/>
        <name val="Verdana"/>
        <family val="2"/>
        <scheme val="none"/>
      </font>
    </dxf>
    <dxf>
      <font>
        <strike val="0"/>
        <outline val="0"/>
        <shadow val="0"/>
        <u val="none"/>
        <vertAlign val="baseline"/>
        <sz val="10"/>
        <color auto="1"/>
        <name val="Verdana"/>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auto="1"/>
        <name val="Verdana"/>
        <family val="2"/>
        <scheme val="none"/>
      </font>
    </dxf>
    <dxf>
      <font>
        <b val="0"/>
        <i val="0"/>
        <strike val="0"/>
        <condense val="0"/>
        <extend val="0"/>
        <outline val="0"/>
        <shadow val="0"/>
        <u val="none"/>
        <vertAlign val="baseline"/>
        <sz val="10"/>
        <color auto="1"/>
        <name val="Verdana"/>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auto="1"/>
        <name val="Verdana"/>
        <family val="2"/>
        <scheme val="none"/>
      </font>
    </dxf>
    <dxf>
      <font>
        <strike val="0"/>
        <outline val="0"/>
        <shadow val="0"/>
        <u val="none"/>
        <vertAlign val="baseline"/>
        <sz val="10"/>
        <color auto="1"/>
        <name val="Verdana"/>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auto="1"/>
        <name val="Verdana"/>
        <family val="2"/>
        <scheme val="none"/>
      </font>
      <alignment horizontal="center" vertical="bottom" textRotation="0" wrapText="0" indent="0" justifyLastLine="0" shrinkToFit="0" readingOrder="0"/>
    </dxf>
    <dxf>
      <font>
        <strike val="0"/>
        <outline val="0"/>
        <shadow val="0"/>
        <u val="none"/>
        <vertAlign val="baseline"/>
        <sz val="10"/>
        <color auto="1"/>
        <name val="Verdana"/>
        <scheme val="none"/>
      </font>
      <numFmt numFmtId="0" formatCode="General"/>
    </dxf>
    <dxf>
      <font>
        <b val="0"/>
        <i val="0"/>
        <strike val="0"/>
        <condense val="0"/>
        <extend val="0"/>
        <outline val="0"/>
        <shadow val="0"/>
        <u val="none"/>
        <vertAlign val="baseline"/>
        <sz val="10"/>
        <color auto="1"/>
        <name val="Verdana"/>
        <family val="2"/>
        <scheme val="none"/>
      </font>
    </dxf>
    <dxf>
      <font>
        <strike val="0"/>
        <outline val="0"/>
        <shadow val="0"/>
        <u val="none"/>
        <vertAlign val="baseline"/>
        <sz val="10"/>
        <color auto="1"/>
        <name val="Verdana"/>
        <scheme val="none"/>
      </font>
      <numFmt numFmtId="0" formatCode="General"/>
    </dxf>
    <dxf>
      <font>
        <strike val="0"/>
        <outline val="0"/>
        <shadow val="0"/>
        <u val="none"/>
        <vertAlign val="baseline"/>
        <sz val="10"/>
        <color auto="1"/>
        <name val="Verdana"/>
        <scheme val="none"/>
      </font>
    </dxf>
    <dxf>
      <font>
        <strike val="0"/>
        <outline val="0"/>
        <shadow val="0"/>
        <u val="none"/>
        <vertAlign val="baseline"/>
        <sz val="10"/>
        <color auto="1"/>
        <name val="Verdana"/>
        <scheme val="none"/>
      </font>
    </dxf>
    <dxf>
      <font>
        <strike val="0"/>
        <outline val="0"/>
        <shadow val="0"/>
        <u val="none"/>
        <vertAlign val="baseline"/>
        <sz val="10"/>
        <color auto="1"/>
        <name val="Verdana"/>
        <scheme val="none"/>
      </font>
      <alignment horizontal="general" vertical="bottom" textRotation="0" wrapText="1" indent="0" justifyLastLine="0" shrinkToFit="0" readingOrder="0"/>
    </dxf>
    <dxf>
      <fill>
        <patternFill patternType="lightDown">
          <fgColor theme="6"/>
        </patternFill>
      </fill>
    </dxf>
    <dxf>
      <fill>
        <patternFill patternType="lightDown">
          <fgColor theme="6"/>
        </patternFill>
      </fill>
    </dxf>
    <dxf>
      <fill>
        <patternFill patternType="lightDown">
          <fgColor theme="6"/>
        </patternFill>
      </fill>
    </dxf>
    <dxf>
      <font>
        <color theme="0" tint="-0.499984740745262"/>
      </font>
      <fill>
        <patternFill>
          <bgColor rgb="FFFFFF99"/>
        </patternFill>
      </fill>
    </dxf>
    <dxf>
      <fill>
        <patternFill patternType="lightDown">
          <fgColor theme="6"/>
        </patternFill>
      </fill>
    </dxf>
    <dxf>
      <font>
        <color rgb="FFFF0000"/>
      </font>
    </dxf>
    <dxf>
      <fill>
        <patternFill patternType="lightDown">
          <fgColor theme="6"/>
        </patternFill>
      </fill>
    </dxf>
    <dxf>
      <fill>
        <patternFill patternType="lightDown">
          <fgColor theme="6"/>
        </patternFill>
      </fill>
    </dxf>
    <dxf>
      <fill>
        <patternFill patternType="lightDown">
          <fgColor theme="6"/>
        </patternFill>
      </fill>
    </dxf>
    <dxf>
      <fill>
        <patternFill patternType="lightDown">
          <fgColor theme="6"/>
        </patternFill>
      </fill>
    </dxf>
    <dxf>
      <fill>
        <patternFill patternType="lightDown">
          <fgColor theme="6"/>
        </patternFill>
      </fill>
    </dxf>
    <dxf>
      <font>
        <b/>
        <i val="0"/>
        <condense val="0"/>
        <extend val="0"/>
        <color indexed="13"/>
      </font>
      <fill>
        <patternFill>
          <bgColor indexed="10"/>
        </patternFill>
      </fill>
      <border>
        <left style="thin">
          <color indexed="13"/>
        </left>
        <right style="thin">
          <color indexed="13"/>
        </right>
        <top style="thin">
          <color indexed="13"/>
        </top>
        <bottom style="thin">
          <color indexed="13"/>
        </bottom>
      </border>
    </dxf>
    <dxf>
      <fill>
        <patternFill patternType="lightDown">
          <fgColor theme="6"/>
        </patternFill>
      </fill>
    </dxf>
    <dxf>
      <fill>
        <patternFill patternType="lightDown">
          <fgColor theme="6"/>
        </patternFill>
      </fill>
    </dxf>
    <dxf>
      <font>
        <color rgb="FFFF0000"/>
      </font>
    </dxf>
    <dxf>
      <font>
        <b/>
        <i val="0"/>
      </font>
    </dxf>
    <dxf>
      <fill>
        <patternFill patternType="lightDown">
          <fgColor theme="6"/>
        </patternFill>
      </fill>
    </dxf>
    <dxf>
      <font>
        <condense val="0"/>
        <extend val="0"/>
        <color indexed="10"/>
      </font>
    </dxf>
  </dxfs>
  <tableStyles count="0" defaultTableStyle="TableStyleMedium9" defaultPivotStyle="PivotStyleLight16"/>
  <colors>
    <mruColors>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3</xdr:col>
      <xdr:colOff>2382</xdr:colOff>
      <xdr:row>7</xdr:row>
      <xdr:rowOff>4763</xdr:rowOff>
    </xdr:from>
    <xdr:to>
      <xdr:col>16</xdr:col>
      <xdr:colOff>7716</xdr:colOff>
      <xdr:row>54</xdr:row>
      <xdr:rowOff>6445</xdr:rowOff>
    </xdr:to>
    <xdr:grpSp>
      <xdr:nvGrpSpPr>
        <xdr:cNvPr id="2" name="Group 1">
          <a:extLst>
            <a:ext uri="{FF2B5EF4-FFF2-40B4-BE49-F238E27FC236}">
              <a16:creationId xmlns:a16="http://schemas.microsoft.com/office/drawing/2014/main" id="{708EC007-FDB1-4D5F-9E5C-BBA369E201C5}"/>
            </a:ext>
            <a:ext uri="{C183D7F6-B498-43B3-948B-1728B52AA6E4}">
              <adec:decorative xmlns:adec="http://schemas.microsoft.com/office/drawing/2017/decorative" val="1"/>
            </a:ext>
          </a:extLst>
        </xdr:cNvPr>
        <xdr:cNvGrpSpPr/>
      </xdr:nvGrpSpPr>
      <xdr:grpSpPr>
        <a:xfrm>
          <a:off x="1774032" y="928688"/>
          <a:ext cx="14502384" cy="9507632"/>
          <a:chOff x="1774032" y="928688"/>
          <a:chExt cx="14502384" cy="9490739"/>
        </a:xfrm>
      </xdr:grpSpPr>
      <xdr:grpSp>
        <xdr:nvGrpSpPr>
          <xdr:cNvPr id="3" name="Group 2">
            <a:extLst>
              <a:ext uri="{FF2B5EF4-FFF2-40B4-BE49-F238E27FC236}">
                <a16:creationId xmlns:a16="http://schemas.microsoft.com/office/drawing/2014/main" id="{0E64F22A-50C6-4FA1-884A-D9B8C001E391}"/>
              </a:ext>
            </a:extLst>
          </xdr:cNvPr>
          <xdr:cNvGrpSpPr/>
        </xdr:nvGrpSpPr>
        <xdr:grpSpPr>
          <a:xfrm>
            <a:off x="1774032" y="928688"/>
            <a:ext cx="14502384" cy="9490739"/>
            <a:chOff x="1754982" y="674988"/>
            <a:chExt cx="14482751" cy="9509642"/>
          </a:xfrm>
        </xdr:grpSpPr>
        <xdr:sp macro="" textlink="">
          <xdr:nvSpPr>
            <xdr:cNvPr id="5" name="Rectangle 2">
              <a:extLst>
                <a:ext uri="{FF2B5EF4-FFF2-40B4-BE49-F238E27FC236}">
                  <a16:creationId xmlns:a16="http://schemas.microsoft.com/office/drawing/2014/main" id="{74B4214D-8A47-4A51-AAE7-D31BC2BDC4DA}"/>
                </a:ext>
              </a:extLst>
            </xdr:cNvPr>
            <xdr:cNvSpPr>
              <a:spLocks noChangeArrowheads="1"/>
            </xdr:cNvSpPr>
          </xdr:nvSpPr>
          <xdr:spPr bwMode="auto">
            <a:xfrm>
              <a:off x="14404596" y="678961"/>
              <a:ext cx="1828800" cy="367071"/>
            </a:xfrm>
            <a:prstGeom prst="rect">
              <a:avLst/>
            </a:prstGeom>
            <a:solidFill>
              <a:srgbClr val="FFFFFF"/>
            </a:solidFill>
            <a:ln w="12700">
              <a:solidFill>
                <a:srgbClr val="000000"/>
              </a:solidFill>
              <a:miter lim="800000"/>
              <a:headEnd/>
              <a:tailEnd/>
            </a:ln>
          </xdr:spPr>
          <xdr:txBody>
            <a:bodyPr vertOverflow="clip" wrap="square" lIns="54864" tIns="54864" rIns="91440" bIns="45720" anchor="t" anchorCtr="0" upright="1"/>
            <a:lstStyle/>
            <a:p>
              <a:pPr algn="l" rtl="0">
                <a:defRPr sz="1000"/>
              </a:pPr>
              <a:r>
                <a:rPr lang="en-US" sz="600" b="0" i="0" baseline="0">
                  <a:effectLst/>
                  <a:latin typeface="+mn-lt"/>
                  <a:ea typeface="+mn-ea"/>
                  <a:cs typeface="+mn-cs"/>
                </a:rPr>
                <a:t>       </a:t>
              </a:r>
              <a:r>
                <a:rPr lang="en-US" sz="600" b="0" i="0" u="none" strike="noStrike" baseline="0">
                  <a:solidFill>
                    <a:srgbClr val="000000"/>
                  </a:solidFill>
                  <a:latin typeface="Verdana"/>
                </a:rPr>
                <a:t>PROJECT</a:t>
              </a:r>
            </a:p>
          </xdr:txBody>
        </xdr:sp>
        <xdr:sp macro="" textlink="">
          <xdr:nvSpPr>
            <xdr:cNvPr id="6" name="Rectangle 21" descr="Sheet border&#10;10.4&quot; x 15.85&quot;">
              <a:extLst>
                <a:ext uri="{FF2B5EF4-FFF2-40B4-BE49-F238E27FC236}">
                  <a16:creationId xmlns:a16="http://schemas.microsoft.com/office/drawing/2014/main" id="{C9C7DB60-09C0-4EFB-8FE7-19DBA0EF9A73}"/>
                </a:ext>
              </a:extLst>
            </xdr:cNvPr>
            <xdr:cNvSpPr>
              <a:spLocks noChangeArrowheads="1"/>
            </xdr:cNvSpPr>
          </xdr:nvSpPr>
          <xdr:spPr bwMode="auto">
            <a:xfrm>
              <a:off x="1754982" y="674988"/>
              <a:ext cx="14482751" cy="9509642"/>
            </a:xfrm>
            <a:prstGeom prst="rect">
              <a:avLst/>
            </a:prstGeom>
            <a:noFill/>
            <a:ln w="22225">
              <a:solidFill>
                <a:srgbClr val="000000"/>
              </a:solidFill>
              <a:miter lim="800000"/>
              <a:headEnd/>
              <a:tailEnd/>
            </a:ln>
          </xdr:spPr>
        </xdr:sp>
        <xdr:sp macro="" textlink="">
          <xdr:nvSpPr>
            <xdr:cNvPr id="7" name="Line 22">
              <a:extLst>
                <a:ext uri="{FF2B5EF4-FFF2-40B4-BE49-F238E27FC236}">
                  <a16:creationId xmlns:a16="http://schemas.microsoft.com/office/drawing/2014/main" id="{354478EE-91CA-4296-A975-E26EC71F98DF}"/>
                </a:ext>
              </a:extLst>
            </xdr:cNvPr>
            <xdr:cNvSpPr>
              <a:spLocks noChangeShapeType="1"/>
            </xdr:cNvSpPr>
          </xdr:nvSpPr>
          <xdr:spPr bwMode="auto">
            <a:xfrm>
              <a:off x="14406980" y="863190"/>
              <a:ext cx="1829400" cy="0"/>
            </a:xfrm>
            <a:prstGeom prst="line">
              <a:avLst/>
            </a:prstGeom>
            <a:noFill/>
            <a:ln w="9525">
              <a:solidFill>
                <a:srgbClr val="000000"/>
              </a:solidFill>
              <a:round/>
              <a:headEnd/>
              <a:tailEnd/>
            </a:ln>
          </xdr:spPr>
        </xdr:sp>
        <xdr:sp macro="" textlink="">
          <xdr:nvSpPr>
            <xdr:cNvPr id="8" name="Line 17">
              <a:extLst>
                <a:ext uri="{FF2B5EF4-FFF2-40B4-BE49-F238E27FC236}">
                  <a16:creationId xmlns:a16="http://schemas.microsoft.com/office/drawing/2014/main" id="{E5EBE1AC-7B1F-4E05-A8BD-90387B094395}"/>
                </a:ext>
              </a:extLst>
            </xdr:cNvPr>
            <xdr:cNvSpPr>
              <a:spLocks noChangeAspect="1" noChangeShapeType="1"/>
            </xdr:cNvSpPr>
          </xdr:nvSpPr>
          <xdr:spPr bwMode="auto">
            <a:xfrm flipV="1">
              <a:off x="15860318" y="683724"/>
              <a:ext cx="0" cy="367071"/>
            </a:xfrm>
            <a:prstGeom prst="line">
              <a:avLst/>
            </a:prstGeom>
            <a:noFill/>
            <a:ln w="9525">
              <a:solidFill>
                <a:srgbClr val="000000"/>
              </a:solidFill>
              <a:round/>
              <a:headEnd/>
              <a:tailEnd/>
            </a:ln>
          </xdr:spPr>
        </xdr:sp>
        <xdr:sp macro="" textlink="Sheet.number">
          <xdr:nvSpPr>
            <xdr:cNvPr id="9" name="Text Box 4">
              <a:extLst>
                <a:ext uri="{FF2B5EF4-FFF2-40B4-BE49-F238E27FC236}">
                  <a16:creationId xmlns:a16="http://schemas.microsoft.com/office/drawing/2014/main" id="{29509350-A824-4A1A-ACCF-EA5F1F5F7A20}"/>
                </a:ext>
              </a:extLst>
            </xdr:cNvPr>
            <xdr:cNvSpPr txBox="1">
              <a:spLocks noChangeArrowheads="1" noTextEdit="1"/>
            </xdr:cNvSpPr>
          </xdr:nvSpPr>
          <xdr:spPr bwMode="auto">
            <a:xfrm>
              <a:off x="15866650" y="860518"/>
              <a:ext cx="364849" cy="183536"/>
            </a:xfrm>
            <a:prstGeom prst="rect">
              <a:avLst/>
            </a:prstGeom>
            <a:noFill/>
            <a:ln w="0">
              <a:noFill/>
              <a:miter lim="800000"/>
              <a:headEnd/>
              <a:tailEnd/>
            </a:ln>
          </xdr:spPr>
          <xdr:txBody>
            <a:bodyPr vertOverflow="overflow" horzOverflow="overflow" wrap="square" lIns="0" tIns="0" rIns="0" bIns="0" anchor="ctr" anchorCtr="1" upright="1"/>
            <a:lstStyle/>
            <a:p>
              <a:pPr algn="ctr" rtl="0">
                <a:defRPr sz="1000"/>
              </a:pPr>
              <a:fld id="{A83EDD77-23E5-4C34-A722-09B1029F024C}" type="TxLink">
                <a:rPr lang="en-US" sz="600" b="0" i="0" u="none" strike="noStrike" baseline="0">
                  <a:solidFill>
                    <a:srgbClr val="000000"/>
                  </a:solidFill>
                  <a:latin typeface="Verdana"/>
                  <a:ea typeface="Verdana"/>
                  <a:cs typeface="Verdana"/>
                </a:rPr>
                <a:pPr algn="ctr" rtl="0">
                  <a:defRPr sz="1000"/>
                </a:pPr>
                <a:t>D.1</a:t>
              </a:fld>
              <a:endParaRPr lang="en-US" sz="600" b="0" i="0" u="none" strike="noStrike" baseline="0">
                <a:solidFill>
                  <a:srgbClr val="000000"/>
                </a:solidFill>
                <a:latin typeface="Verdana"/>
              </a:endParaRPr>
            </a:p>
          </xdr:txBody>
        </xdr:sp>
        <xdr:sp macro="" textlink="Project">
          <xdr:nvSpPr>
            <xdr:cNvPr id="10" name="Text Box 3">
              <a:extLst>
                <a:ext uri="{FF2B5EF4-FFF2-40B4-BE49-F238E27FC236}">
                  <a16:creationId xmlns:a16="http://schemas.microsoft.com/office/drawing/2014/main" id="{8D7F6FAA-3EF2-4EA9-8379-B2DCA2C49D39}"/>
                </a:ext>
              </a:extLst>
            </xdr:cNvPr>
            <xdr:cNvSpPr txBox="1">
              <a:spLocks noChangeArrowheads="1" noTextEdit="1"/>
            </xdr:cNvSpPr>
          </xdr:nvSpPr>
          <xdr:spPr bwMode="auto">
            <a:xfrm>
              <a:off x="14409836" y="858405"/>
              <a:ext cx="1463520" cy="183536"/>
            </a:xfrm>
            <a:prstGeom prst="rect">
              <a:avLst/>
            </a:prstGeom>
            <a:noFill/>
            <a:ln w="0">
              <a:noFill/>
              <a:miter lim="800000"/>
              <a:headEnd/>
              <a:tailEnd/>
            </a:ln>
          </xdr:spPr>
          <xdr:txBody>
            <a:bodyPr vertOverflow="overflow" horzOverflow="overflow" wrap="square" lIns="0" tIns="0" rIns="0" bIns="0" anchor="ctr" anchorCtr="1" upright="1"/>
            <a:lstStyle/>
            <a:p>
              <a:pPr algn="ctr" rtl="0">
                <a:defRPr sz="1000"/>
              </a:pPr>
              <a:fld id="{C4B26DC0-D3B0-4BE4-A8E0-A5C90BB98EB6}" type="TxLink">
                <a:rPr lang="en-US" sz="600" b="0" i="0" u="none" strike="noStrike" baseline="0">
                  <a:solidFill>
                    <a:srgbClr val="000000"/>
                  </a:solidFill>
                  <a:latin typeface="Verdana"/>
                </a:rPr>
                <a:pPr algn="ctr" rtl="0">
                  <a:defRPr sz="1000"/>
                </a:pPr>
                <a:t>WY NPS YELL 10(25)</a:t>
              </a:fld>
              <a:endParaRPr lang="en-US" sz="600" b="0" i="0" u="none" strike="noStrike" baseline="0">
                <a:solidFill>
                  <a:srgbClr val="000000"/>
                </a:solidFill>
                <a:latin typeface="Verdana"/>
              </a:endParaRPr>
            </a:p>
          </xdr:txBody>
        </xdr:sp>
        <xdr:sp macro="" textlink="">
          <xdr:nvSpPr>
            <xdr:cNvPr id="11" name="Text Box 20">
              <a:extLst>
                <a:ext uri="{FF2B5EF4-FFF2-40B4-BE49-F238E27FC236}">
                  <a16:creationId xmlns:a16="http://schemas.microsoft.com/office/drawing/2014/main" id="{4386483C-5CE7-42E7-AEC5-6A622F92D691}"/>
                </a:ext>
              </a:extLst>
            </xdr:cNvPr>
            <xdr:cNvSpPr txBox="1">
              <a:spLocks noChangeArrowheads="1"/>
            </xdr:cNvSpPr>
          </xdr:nvSpPr>
          <xdr:spPr bwMode="auto">
            <a:xfrm>
              <a:off x="15860314" y="681036"/>
              <a:ext cx="365756" cy="182880"/>
            </a:xfrm>
            <a:prstGeom prst="rect">
              <a:avLst/>
            </a:prstGeom>
            <a:noFill/>
            <a:ln w="9525">
              <a:noFill/>
              <a:miter lim="800000"/>
              <a:headEnd/>
              <a:tailEnd/>
            </a:ln>
          </xdr:spPr>
          <xdr:txBody>
            <a:bodyPr vertOverflow="overflow" horzOverflow="overflow" wrap="none" lIns="0" tIns="0" rIns="0" bIns="0" anchor="t" anchorCtr="1" upright="1"/>
            <a:lstStyle/>
            <a:p>
              <a:pPr algn="ctr" rtl="0">
                <a:defRPr sz="1000"/>
              </a:pPr>
              <a:r>
                <a:rPr lang="en-US" sz="600" b="0" i="0" u="none" strike="noStrike" baseline="0">
                  <a:solidFill>
                    <a:srgbClr val="000000"/>
                  </a:solidFill>
                  <a:latin typeface="Verdana"/>
                </a:rPr>
                <a:t>SHEET</a:t>
              </a:r>
            </a:p>
            <a:p>
              <a:pPr algn="ctr" rtl="0">
                <a:defRPr sz="1000"/>
              </a:pPr>
              <a:r>
                <a:rPr lang="en-US" sz="600" b="0" i="0" u="none" strike="noStrike" baseline="0">
                  <a:solidFill>
                    <a:srgbClr val="000000"/>
                  </a:solidFill>
                  <a:latin typeface="Verdana"/>
                </a:rPr>
                <a:t>NUMBER</a:t>
              </a:r>
            </a:p>
          </xdr:txBody>
        </xdr:sp>
      </xdr:grpSp>
      <xdr:sp macro="" textlink="Title">
        <xdr:nvSpPr>
          <xdr:cNvPr id="4" name="Rectangle 3">
            <a:extLst>
              <a:ext uri="{FF2B5EF4-FFF2-40B4-BE49-F238E27FC236}">
                <a16:creationId xmlns:a16="http://schemas.microsoft.com/office/drawing/2014/main" id="{A7F2398D-5E48-49EF-BF64-6930875CD1DC}"/>
              </a:ext>
            </a:extLst>
          </xdr:cNvPr>
          <xdr:cNvSpPr/>
        </xdr:nvSpPr>
        <xdr:spPr bwMode="auto">
          <a:xfrm>
            <a:off x="12615863" y="9503569"/>
            <a:ext cx="3657600" cy="914400"/>
          </a:xfrm>
          <a:prstGeom prst="rect">
            <a:avLst/>
          </a:prstGeom>
          <a:solidFill>
            <a:srgbClr val="FFFFFF"/>
          </a:solidFill>
          <a:ln w="15875" cap="flat" cmpd="sng" algn="ctr">
            <a:solidFill>
              <a:schemeClr val="tx1"/>
            </a:solidFill>
            <a:prstDash val="solid"/>
            <a:miter lim="800000"/>
            <a:headEnd type="none" w="med" len="med"/>
            <a:tailEnd type="none" w="med" len="med"/>
          </a:ln>
          <a:effectLst/>
        </xdr:spPr>
        <xdr:txBody>
          <a:bodyPr vertOverflow="clip" wrap="square" lIns="18288" tIns="0" rIns="0" bIns="0" rtlCol="0" anchor="ctr" upright="1"/>
          <a:lstStyle/>
          <a:p>
            <a:pPr algn="ctr"/>
            <a:fld id="{B72FDC79-F086-4110-8E42-AC81C59B0854}" type="TxLink">
              <a:rPr lang="en-US" sz="1600" b="1" i="0" u="none" strike="noStrike">
                <a:solidFill>
                  <a:srgbClr val="000000"/>
                </a:solidFill>
                <a:latin typeface="Verdana"/>
                <a:ea typeface="Verdana"/>
              </a:rPr>
              <a:pPr algn="ctr"/>
              <a:t>SURVEY CONTROL</a:t>
            </a:fld>
            <a:endParaRPr lang="en-US" sz="1600" b="1">
              <a:latin typeface="Verdana" panose="020B0604030504040204" pitchFamily="34" charset="0"/>
              <a:ea typeface="Verdana" panose="020B0604030504040204" pitchFamily="34" charset="0"/>
            </a:endParaRPr>
          </a:p>
        </xdr:txBody>
      </xdr:sp>
    </xdr:grpSp>
    <xdr:clientData/>
  </xdr:twoCellAnchor>
  <xdr:twoCellAnchor editAs="absolute">
    <xdr:from>
      <xdr:col>14</xdr:col>
      <xdr:colOff>962025</xdr:colOff>
      <xdr:row>52</xdr:row>
      <xdr:rowOff>47625</xdr:rowOff>
    </xdr:from>
    <xdr:to>
      <xdr:col>14</xdr:col>
      <xdr:colOff>2790825</xdr:colOff>
      <xdr:row>53</xdr:row>
      <xdr:rowOff>38100</xdr:rowOff>
    </xdr:to>
    <xdr:sp macro="" textlink="Totals">
      <xdr:nvSpPr>
        <xdr:cNvPr id="12" name="Text Box 144">
          <a:extLst>
            <a:ext uri="{FF2B5EF4-FFF2-40B4-BE49-F238E27FC236}">
              <a16:creationId xmlns:a16="http://schemas.microsoft.com/office/drawing/2014/main" id="{2E7C3924-0B1D-4B92-B2C3-860F9595B95C}"/>
            </a:ext>
          </a:extLst>
        </xdr:cNvPr>
        <xdr:cNvSpPr txBox="1">
          <a:spLocks noChangeAspect="1" noChangeArrowheads="1" noTextEdit="1"/>
        </xdr:cNvSpPr>
      </xdr:nvSpPr>
      <xdr:spPr bwMode="auto">
        <a:xfrm>
          <a:off x="13525500" y="10144125"/>
          <a:ext cx="1828800" cy="180975"/>
        </a:xfrm>
        <a:prstGeom prst="rect">
          <a:avLst/>
        </a:prstGeom>
        <a:noFill/>
        <a:ln w="9525">
          <a:noFill/>
          <a:miter lim="800000"/>
          <a:headEnd/>
          <a:tailEnd/>
        </a:ln>
      </xdr:spPr>
      <xdr:txBody>
        <a:bodyPr vertOverflow="clip" wrap="square" lIns="36576" tIns="22860" rIns="36576" bIns="22860" anchor="ctr" upright="1"/>
        <a:lstStyle/>
        <a:p>
          <a:pPr algn="ctr" rtl="0">
            <a:defRPr sz="1000"/>
          </a:pPr>
          <a:fld id="{2855ECEE-022C-4EFE-84BD-15F1F91F21D2}" type="TxLink">
            <a:rPr lang="en-US" sz="1200" b="0" i="0" u="none" strike="noStrike" baseline="0">
              <a:solidFill>
                <a:srgbClr val="000000"/>
              </a:solidFill>
              <a:latin typeface="Verdana"/>
              <a:ea typeface="Verdana"/>
              <a:cs typeface="Verdana"/>
            </a:rPr>
            <a:pPr algn="ctr" rtl="0">
              <a:defRPr sz="1000"/>
            </a:pPr>
            <a:t>Sheet 1 of 2</a:t>
          </a:fld>
          <a:endParaRPr lang="en-US" sz="1200" b="0" i="0" u="none" strike="noStrike" baseline="0">
            <a:solidFill>
              <a:srgbClr val="000000"/>
            </a:solidFill>
            <a:latin typeface="Verdana"/>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heet.Names" displayName="Sheet.Names" ref="C24:H45" totalsRowCount="1" headerRowDxfId="20" dataDxfId="19" totalsRowDxfId="18">
  <autoFilter ref="C24:H44" xr:uid="{00000000-0009-0000-0100-000001000000}"/>
  <tableColumns count="6">
    <tableColumn id="2" xr3:uid="{00000000-0010-0000-0000-000002000000}" name="Worksheet" totalsRowLabel="Total Sheets:" dataDxfId="17" totalsRowDxfId="16">
      <calculatedColumnFormula>Base&amp;IF(ROW()-ROW(C$24)&gt;1," ("&amp;ROW()-ROW(C$24)&amp;")","")</calculatedColumnFormula>
    </tableColumn>
    <tableColumn id="3" xr3:uid="{00000000-0010-0000-0000-000003000000}" name="Sheet" totalsRowFunction="custom" dataDxfId="15" totalsRowDxfId="14">
      <calculatedColumnFormula>IF(ISREF(INDIRECT("'"&amp;Sheet.Names[[#This Row],[Worksheet]]&amp;"'!A1")),LEFT(Sheet,FIND(".",Sheet)-1)&amp;"."&amp;Sheet.Names[[#This Row],[Number]],"Undefined")</calculatedColumnFormula>
      <totalsRowFormula>COUNTIF(Sheet.Names[Sheet],"&lt;&gt;Undefined")</totalsRowFormula>
    </tableColumn>
    <tableColumn id="4" xr3:uid="{00000000-0010-0000-0000-000004000000}" name="Header1" totalsRowFunction="custom" dataDxfId="13" totalsRowDxfId="12">
      <calculatedColumnFormula>IFERROR(IF(AND(OFFSET(Sheet.Names[[#This Row],[Header2]],-1,0)&lt;&gt;FALSE(),OFFSET(Sheet.Names[[#This Row],[Header2]],-1,0)+Table.rows&lt;=Data.rows),OFFSET(Sheet.Names[[#This Row],[Header2]],-1,0)+Table.rows),Start.Row)</calculatedColumnFormula>
      <totalsRowFormula>MAX(COUNTIF(Sheet.Names[Header1],"&lt;&gt;FALSE")-D45,0)</totalsRowFormula>
    </tableColumn>
    <tableColumn id="1" xr3:uid="{B8D5C0DC-DEA6-4BC0-AB91-708EF81DBD16}" name="Header2" dataDxfId="11" totalsRowDxfId="10">
      <calculatedColumnFormula>IF(AND(Sheet.Names[[#This Row],[Header1]]&lt;&gt;FALSE(),Sheet.Names[[#This Row],[Header1]]+Table.rows&lt;=Data.rows),Sheet.Names[[#This Row],[Header1]]+Table.rows)</calculatedColumnFormula>
    </tableColumn>
    <tableColumn id="5" xr3:uid="{00000000-0010-0000-0000-000005000000}" name="Number" totalsRowFunction="custom" dataDxfId="9" totalsRowDxfId="8">
      <calculatedColumnFormula>IFERROR(OFFSET(Sheet.Names[[#This Row],[Number]],-1,0)+IF(ISREF(INDIRECT("'"&amp;Sheet.Names[[#This Row],[Worksheet]]&amp;"'!A1")),1,0),VALUE(REPLACE(Sheet,1,FIND(".",Sheet),"")))</calculatedColumnFormula>
      <totalsRowFormula>"sheet"&amp;IF(E45&lt;&gt;1,"s","")&amp;" missing"</totalsRowFormula>
    </tableColumn>
    <tableColumn id="6" xr3:uid="{00000000-0010-0000-0000-000006000000}" name="Notes" dataDxfId="7" totalsRowDxfId="6">
      <calculatedColumnFormula>IF(D25="Undefined",IF(ISNUMBER(E25),"&lt;= Add sheet",""),IF(ISNUMBER(E25),"OK","&lt;Delete"))</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
  <sheetViews>
    <sheetView showGridLines="0" showRowColHeaders="0" tabSelected="1" topLeftCell="A4" workbookViewId="0">
      <selection activeCell="C8" sqref="C8"/>
    </sheetView>
  </sheetViews>
  <sheetFormatPr defaultColWidth="0" defaultRowHeight="10.5" zeroHeight="1" x14ac:dyDescent="0.15"/>
  <cols>
    <col min="1" max="1" width="8.7109375" customWidth="1"/>
    <col min="2" max="2" width="10.7109375" customWidth="1"/>
    <col min="3" max="3" width="30.7109375" customWidth="1"/>
    <col min="4" max="4" width="20.7109375" customWidth="1"/>
    <col min="5" max="6" width="12.7109375" customWidth="1"/>
    <col min="7" max="7" width="11.7109375" customWidth="1"/>
    <col min="8" max="8" width="15.5703125" bestFit="1" customWidth="1"/>
    <col min="9" max="9" width="10.7109375" customWidth="1"/>
    <col min="10" max="10" width="13.140625" hidden="1" customWidth="1"/>
    <col min="11" max="11" width="9.140625" hidden="1" customWidth="1"/>
    <col min="12" max="12" width="10.140625" hidden="1" customWidth="1"/>
    <col min="13" max="13" width="10.42578125" hidden="1" customWidth="1"/>
    <col min="14" max="16384" width="9.140625" hidden="1"/>
  </cols>
  <sheetData>
    <row r="1" spans="1:7" ht="36.75" x14ac:dyDescent="0.45">
      <c r="A1" s="96" t="s">
        <v>57</v>
      </c>
      <c r="B1" s="97"/>
    </row>
    <row r="2" spans="1:7" ht="18" x14ac:dyDescent="0.25">
      <c r="B2" s="6" t="s">
        <v>4</v>
      </c>
    </row>
    <row r="3" spans="1:7" ht="73.5" customHeight="1" x14ac:dyDescent="0.2">
      <c r="A3" s="7">
        <f ca="1">OFFSET(A3,-1,0)+1</f>
        <v>1</v>
      </c>
      <c r="B3" s="101" t="s">
        <v>32</v>
      </c>
      <c r="C3" s="101"/>
      <c r="D3" s="101"/>
      <c r="E3" s="101"/>
      <c r="F3" s="99"/>
      <c r="G3" s="5"/>
    </row>
    <row r="4" spans="1:7" ht="60" customHeight="1" x14ac:dyDescent="0.15">
      <c r="A4" s="7">
        <f ca="1">OFFSET(A4,-1,0)+1</f>
        <v>2</v>
      </c>
      <c r="B4" s="101" t="s">
        <v>33</v>
      </c>
      <c r="C4" s="102"/>
      <c r="D4" s="102"/>
      <c r="E4" s="102"/>
      <c r="F4" s="99"/>
    </row>
    <row r="5" spans="1:7" x14ac:dyDescent="0.15"/>
    <row r="6" spans="1:7" ht="18" x14ac:dyDescent="0.25">
      <c r="B6" s="6" t="s">
        <v>8</v>
      </c>
    </row>
    <row r="7" spans="1:7" ht="24" customHeight="1" x14ac:dyDescent="0.15">
      <c r="B7" s="101" t="s">
        <v>6</v>
      </c>
      <c r="C7" s="99"/>
      <c r="D7" s="99"/>
      <c r="E7" s="99"/>
      <c r="F7" s="99"/>
    </row>
    <row r="8" spans="1:7" ht="30" customHeight="1" x14ac:dyDescent="0.15">
      <c r="B8" s="52" t="s">
        <v>0</v>
      </c>
      <c r="C8" s="50" t="s">
        <v>42</v>
      </c>
      <c r="D8" s="107" t="s">
        <v>5</v>
      </c>
      <c r="E8" s="108"/>
      <c r="F8" s="108"/>
      <c r="G8" s="108"/>
    </row>
    <row r="9" spans="1:7" ht="15" x14ac:dyDescent="0.15">
      <c r="A9" s="48"/>
      <c r="B9" s="45" t="s">
        <v>38</v>
      </c>
      <c r="C9" s="46" t="s">
        <v>38</v>
      </c>
      <c r="D9" s="105" t="s">
        <v>41</v>
      </c>
      <c r="E9" s="106"/>
      <c r="F9" s="106"/>
    </row>
    <row r="10" spans="1:7" ht="15" x14ac:dyDescent="0.15">
      <c r="A10" s="48"/>
      <c r="B10" s="45" t="s">
        <v>39</v>
      </c>
      <c r="C10" s="46" t="s">
        <v>39</v>
      </c>
      <c r="D10" s="105"/>
      <c r="E10" s="106"/>
      <c r="F10" s="106"/>
    </row>
    <row r="11" spans="1:7" ht="15" x14ac:dyDescent="0.2">
      <c r="A11" s="49"/>
      <c r="B11" s="52" t="s">
        <v>18</v>
      </c>
      <c r="C11" s="51" t="s">
        <v>40</v>
      </c>
      <c r="D11" s="30">
        <f ca="1">COUNTIF(Sheet.Names[Header1],"&gt;0")</f>
        <v>2</v>
      </c>
    </row>
    <row r="12" spans="1:7" ht="15" x14ac:dyDescent="0.2">
      <c r="A12" s="49"/>
      <c r="B12" s="52" t="s">
        <v>35</v>
      </c>
      <c r="C12" s="51" t="s">
        <v>34</v>
      </c>
      <c r="D12" s="13"/>
      <c r="E12" s="13"/>
      <c r="F12" s="13"/>
    </row>
    <row r="13" spans="1:7" ht="15" x14ac:dyDescent="0.2">
      <c r="A13" s="49"/>
      <c r="B13" s="52" t="s">
        <v>23</v>
      </c>
      <c r="C13" s="51" t="b">
        <v>1</v>
      </c>
      <c r="D13" s="13"/>
      <c r="E13" s="13"/>
      <c r="F13" s="13"/>
    </row>
    <row r="14" spans="1:7" ht="15" x14ac:dyDescent="0.2">
      <c r="A14" s="49"/>
      <c r="B14" s="52" t="s">
        <v>24</v>
      </c>
      <c r="C14" s="51" t="s">
        <v>48</v>
      </c>
      <c r="D14" s="13" t="str">
        <f ca="1">"Worksheet "&amp;IF(ISREF(INDIRECT("'"&amp;Location&amp;"'!A1")),"found","NOT FOUND!")</f>
        <v>Worksheet found</v>
      </c>
    </row>
    <row r="15" spans="1:7" ht="12.75" x14ac:dyDescent="0.2">
      <c r="B15" s="12" t="s">
        <v>25</v>
      </c>
      <c r="C15" s="24" t="s">
        <v>14</v>
      </c>
    </row>
    <row r="16" spans="1:7" ht="12.75" x14ac:dyDescent="0.2">
      <c r="B16" s="12" t="s">
        <v>28</v>
      </c>
      <c r="C16" s="24">
        <v>5</v>
      </c>
      <c r="D16" s="20">
        <f ca="1">MATCH("POINT*",INDIRECT("'"&amp;Location&amp;"'!"&amp;Data_col&amp;":"&amp;Data_col),0)</f>
        <v>3</v>
      </c>
      <c r="E16" s="20"/>
      <c r="F16" s="11"/>
    </row>
    <row r="17" spans="1:8" ht="12.75" x14ac:dyDescent="0.2">
      <c r="B17" s="12" t="s">
        <v>19</v>
      </c>
      <c r="C17" s="27" t="s">
        <v>17</v>
      </c>
      <c r="D17">
        <f ca="1">COUNTA(INDIRECT("'"&amp;Location&amp;"'!"&amp;Data_col&amp;":"&amp;Data_col))-COUNTA(INDIRECT("'"&amp;Location&amp;"'!"&amp;Data_col&amp;"1:"&amp;Data_col&amp;D16))</f>
        <v>99</v>
      </c>
      <c r="E17" t="s">
        <v>26</v>
      </c>
      <c r="F17" s="103" t="str">
        <f ca="1">IFERROR(MATCH(" *",INDIRECT("'"&amp;Location&amp;"'!"&amp;Data_col&amp;D16+1&amp;":"&amp;Data_col&amp;D16+D17),0)+D16,"OK - no spaces in data")</f>
        <v>OK - no spaces in data</v>
      </c>
      <c r="G17" s="104"/>
    </row>
    <row r="18" spans="1:8" ht="12.75" x14ac:dyDescent="0.2">
      <c r="B18" s="12" t="s">
        <v>29</v>
      </c>
      <c r="C18" s="22">
        <v>35</v>
      </c>
      <c r="D18" s="11">
        <f ca="1">IFERROR(F17-D16-1,D17+COUNTBLANK(INDIRECT("'"&amp;Location&amp;"'!"&amp;Data_col&amp;D16+1&amp;":"&amp;Data_col&amp;D16+D17)))</f>
        <v>99</v>
      </c>
      <c r="E18" s="11" t="s">
        <v>27</v>
      </c>
      <c r="F18" s="98" t="str">
        <f ca="1">"Warnings: "&amp;IF(ISNUMBER(F17),"Rows found beginning w/spaces.  ","")&amp;IF(COUNTBLANK(INDIRECT("'"&amp;Location&amp;"'!"&amp;Data_col&amp;D16+1&amp;":"&amp;Data_col&amp;D16+D17))&gt;0,"Empty lines found within data set","")</f>
        <v xml:space="preserve">Warnings: </v>
      </c>
      <c r="G18" s="98"/>
      <c r="H18" s="98"/>
    </row>
    <row r="19" spans="1:8" x14ac:dyDescent="0.15">
      <c r="D19" s="11">
        <f ca="1">IF(AND(MOD(D18,Max_rows)&gt;0,MOD(D18,Max_rows)&lt;Min_rows),INT((D18-Min_rows)/ROUND((D18-Min_rows)/Max_rows,0)),Max_rows)</f>
        <v>35</v>
      </c>
      <c r="E19" t="s">
        <v>30</v>
      </c>
      <c r="F19" s="99"/>
      <c r="G19" s="99"/>
      <c r="H19" s="99"/>
    </row>
    <row r="20" spans="1:8" x14ac:dyDescent="0.15">
      <c r="D20" s="21"/>
      <c r="E20" t="str">
        <f ca="1">SUBSTITUTE(TRIM(INDIRECT("'"&amp;Location&amp;"'!"&amp;Data_col&amp;"1"))," "&amp;CHAR(10),CHAR(10))</f>
        <v xml:space="preserve">PROJECT : xxxxxxx HIGHWAY
DATE OF FIELD WORK : ???
DATE OF FINAL ADJUSTMENT : ???
COORDINATE SYSTEM : Assumed
VERTICAL DATUM : Assumed
PROJECT UNITS : US SURVEY FOOT
</v>
      </c>
      <c r="F20" s="100"/>
      <c r="G20" s="100"/>
      <c r="H20" s="100"/>
    </row>
    <row r="21" spans="1:8" x14ac:dyDescent="0.15"/>
    <row r="22" spans="1:8" ht="18" x14ac:dyDescent="0.15">
      <c r="C22" s="14" t="s">
        <v>15</v>
      </c>
      <c r="D22" s="15"/>
      <c r="E22" s="15"/>
      <c r="F22" s="15"/>
    </row>
    <row r="23" spans="1:8" ht="19.5" x14ac:dyDescent="0.25">
      <c r="A23" s="95"/>
      <c r="C23" s="94" t="s">
        <v>16</v>
      </c>
      <c r="D23" s="69"/>
      <c r="E23" s="23"/>
    </row>
    <row r="24" spans="1:8" ht="12.75" x14ac:dyDescent="0.2">
      <c r="C24" s="28" t="s">
        <v>49</v>
      </c>
      <c r="D24" s="28" t="s">
        <v>17</v>
      </c>
      <c r="E24" s="28" t="s">
        <v>51</v>
      </c>
      <c r="F24" s="28" t="s">
        <v>52</v>
      </c>
      <c r="G24" s="28" t="s">
        <v>50</v>
      </c>
      <c r="H24" s="28" t="s">
        <v>37</v>
      </c>
    </row>
    <row r="25" spans="1:8" ht="12.75" x14ac:dyDescent="0.2">
      <c r="C25" s="5" t="str">
        <f t="shared" ref="C25:C44" si="0">Base&amp;IF(ROW()-ROW(C$24)&gt;1," ("&amp;ROW()-ROW(C$24)&amp;")","")</f>
        <v>Sheet</v>
      </c>
      <c r="D25" s="5" t="str">
        <f ca="1">IF(ISREF(INDIRECT("'"&amp;Sheet.Names[[#This Row],[Worksheet]]&amp;"'!A1")),LEFT(Sheet,FIND(".",Sheet)-1)&amp;"."&amp;Sheet.Names[[#This Row],[Number]],"Undefined")</f>
        <v>D.1</v>
      </c>
      <c r="E25" s="22">
        <f ca="1">IFERROR(IF(AND(OFFSET(Sheet.Names[[#This Row],[Header2]],-1,0)&lt;&gt;FALSE(),OFFSET(Sheet.Names[[#This Row],[Header2]],-1,0)+Table.rows&lt;=Data.rows),OFFSET(Sheet.Names[[#This Row],[Header2]],-1,0)+Table.rows),Start.Row)</f>
        <v>3</v>
      </c>
      <c r="F25" s="22">
        <f ca="1">IF(AND(Sheet.Names[[#This Row],[Header1]]&lt;&gt;FALSE(),Sheet.Names[[#This Row],[Header1]]+Table.rows&lt;=Data.rows),Sheet.Names[[#This Row],[Header1]]+Table.rows)</f>
        <v>38</v>
      </c>
      <c r="G25" s="22">
        <f ca="1">IFERROR(OFFSET(Sheet.Names[[#This Row],[Number]],-1,0)+IF(ISREF(INDIRECT("'"&amp;Sheet.Names[[#This Row],[Worksheet]]&amp;"'!A1")),1,0),VALUE(REPLACE(Sheet,1,FIND(".",Sheet),"")))</f>
        <v>1</v>
      </c>
      <c r="H25" s="29" t="str">
        <f t="shared" ref="H25:H44" ca="1" si="1">IF(D25="Undefined",IF(ISNUMBER(E25),"&lt;= Add sheet",""),IF(ISNUMBER(E25),"OK","&lt;Delete"))</f>
        <v>OK</v>
      </c>
    </row>
    <row r="26" spans="1:8" ht="12.75" x14ac:dyDescent="0.2">
      <c r="C26" s="5" t="str">
        <f t="shared" si="0"/>
        <v>Sheet (2)</v>
      </c>
      <c r="D26" s="5" t="str">
        <f ca="1">IF(ISREF(INDIRECT("'"&amp;Sheet.Names[[#This Row],[Worksheet]]&amp;"'!A1")),LEFT(Sheet,FIND(".",Sheet)-1)&amp;"."&amp;Sheet.Names[[#This Row],[Number]],"Undefined")</f>
        <v>Undefined</v>
      </c>
      <c r="E26" s="22">
        <f ca="1">IFERROR(IF(AND(OFFSET(Sheet.Names[[#This Row],[Header2]],-1,0)&lt;&gt;FALSE(),OFFSET(Sheet.Names[[#This Row],[Header2]],-1,0)+Table.rows&lt;=Data.rows),OFFSET(Sheet.Names[[#This Row],[Header2]],-1,0)+Table.rows),Start.Row)</f>
        <v>73</v>
      </c>
      <c r="F26" s="22" t="b">
        <f ca="1">IF(AND(Sheet.Names[[#This Row],[Header1]]&lt;&gt;FALSE(),Sheet.Names[[#This Row],[Header1]]+Table.rows&lt;=Data.rows),Sheet.Names[[#This Row],[Header1]]+Table.rows)</f>
        <v>0</v>
      </c>
      <c r="G26" s="22">
        <f ca="1">IFERROR(OFFSET(Sheet.Names[[#This Row],[Number]],-1,0)+IF(ISREF(INDIRECT("'"&amp;Sheet.Names[[#This Row],[Worksheet]]&amp;"'!A1")),1,0),VALUE(REPLACE(Sheet,1,FIND(".",Sheet),"")))</f>
        <v>1</v>
      </c>
      <c r="H26" s="29" t="str">
        <f t="shared" ca="1" si="1"/>
        <v>&lt;= Add sheet</v>
      </c>
    </row>
    <row r="27" spans="1:8" ht="12.75" x14ac:dyDescent="0.2">
      <c r="C27" s="5" t="str">
        <f t="shared" si="0"/>
        <v>Sheet (3)</v>
      </c>
      <c r="D27" s="5" t="str">
        <f ca="1">IF(ISREF(INDIRECT("'"&amp;Sheet.Names[[#This Row],[Worksheet]]&amp;"'!A1")),LEFT(Sheet,FIND(".",Sheet)-1)&amp;"."&amp;Sheet.Names[[#This Row],[Number]],"Undefined")</f>
        <v>Undefined</v>
      </c>
      <c r="E27" s="22" t="b">
        <f ca="1">IFERROR(IF(AND(OFFSET(Sheet.Names[[#This Row],[Header2]],-1,0)&lt;&gt;FALSE(),OFFSET(Sheet.Names[[#This Row],[Header2]],-1,0)+Table.rows&lt;=Data.rows),OFFSET(Sheet.Names[[#This Row],[Header2]],-1,0)+Table.rows),Start.Row)</f>
        <v>0</v>
      </c>
      <c r="F27" s="22" t="b">
        <f ca="1">IF(AND(Sheet.Names[[#This Row],[Header1]]&lt;&gt;FALSE(),Sheet.Names[[#This Row],[Header1]]+Table.rows&lt;=Data.rows),Sheet.Names[[#This Row],[Header1]]+Table.rows)</f>
        <v>0</v>
      </c>
      <c r="G27" s="22">
        <f ca="1">IFERROR(OFFSET(Sheet.Names[[#This Row],[Number]],-1,0)+IF(ISREF(INDIRECT("'"&amp;Sheet.Names[[#This Row],[Worksheet]]&amp;"'!A1")),1,0),VALUE(REPLACE(Sheet,1,FIND(".",Sheet),"")))</f>
        <v>1</v>
      </c>
      <c r="H27" s="29" t="str">
        <f t="shared" ca="1" si="1"/>
        <v/>
      </c>
    </row>
    <row r="28" spans="1:8" ht="12.75" x14ac:dyDescent="0.2">
      <c r="C28" s="5" t="str">
        <f t="shared" si="0"/>
        <v>Sheet (4)</v>
      </c>
      <c r="D28" s="5" t="str">
        <f ca="1">IF(ISREF(INDIRECT("'"&amp;Sheet.Names[[#This Row],[Worksheet]]&amp;"'!A1")),LEFT(Sheet,FIND(".",Sheet)-1)&amp;"."&amp;Sheet.Names[[#This Row],[Number]],"Undefined")</f>
        <v>Undefined</v>
      </c>
      <c r="E28" s="22" t="b">
        <f ca="1">IFERROR(IF(AND(OFFSET(Sheet.Names[[#This Row],[Header2]],-1,0)&lt;&gt;FALSE(),OFFSET(Sheet.Names[[#This Row],[Header2]],-1,0)+Table.rows&lt;=Data.rows),OFFSET(Sheet.Names[[#This Row],[Header2]],-1,0)+Table.rows),Start.Row)</f>
        <v>0</v>
      </c>
      <c r="F28" s="22" t="b">
        <f ca="1">IF(AND(Sheet.Names[[#This Row],[Header1]]&lt;&gt;FALSE(),Sheet.Names[[#This Row],[Header1]]+Table.rows&lt;=Data.rows),Sheet.Names[[#This Row],[Header1]]+Table.rows)</f>
        <v>0</v>
      </c>
      <c r="G28" s="22">
        <f ca="1">IFERROR(OFFSET(Sheet.Names[[#This Row],[Number]],-1,0)+IF(ISREF(INDIRECT("'"&amp;Sheet.Names[[#This Row],[Worksheet]]&amp;"'!A1")),1,0),VALUE(REPLACE(Sheet,1,FIND(".",Sheet),"")))</f>
        <v>1</v>
      </c>
      <c r="H28" s="29" t="str">
        <f t="shared" ca="1" si="1"/>
        <v/>
      </c>
    </row>
    <row r="29" spans="1:8" ht="12.75" x14ac:dyDescent="0.2">
      <c r="C29" s="5" t="str">
        <f t="shared" si="0"/>
        <v>Sheet (5)</v>
      </c>
      <c r="D29" s="5" t="str">
        <f ca="1">IF(ISREF(INDIRECT("'"&amp;Sheet.Names[[#This Row],[Worksheet]]&amp;"'!A1")),LEFT(Sheet,FIND(".",Sheet)-1)&amp;"."&amp;Sheet.Names[[#This Row],[Number]],"Undefined")</f>
        <v>Undefined</v>
      </c>
      <c r="E29" s="22" t="b">
        <f ca="1">IFERROR(IF(AND(OFFSET(Sheet.Names[[#This Row],[Header2]],-1,0)&lt;&gt;FALSE(),OFFSET(Sheet.Names[[#This Row],[Header2]],-1,0)+Table.rows&lt;=Data.rows),OFFSET(Sheet.Names[[#This Row],[Header2]],-1,0)+Table.rows),Start.Row)</f>
        <v>0</v>
      </c>
      <c r="F29" s="22" t="b">
        <f ca="1">IF(AND(Sheet.Names[[#This Row],[Header1]]&lt;&gt;FALSE(),Sheet.Names[[#This Row],[Header1]]+Table.rows&lt;=Data.rows),Sheet.Names[[#This Row],[Header1]]+Table.rows)</f>
        <v>0</v>
      </c>
      <c r="G29" s="22">
        <f ca="1">IFERROR(OFFSET(Sheet.Names[[#This Row],[Number]],-1,0)+IF(ISREF(INDIRECT("'"&amp;Sheet.Names[[#This Row],[Worksheet]]&amp;"'!A1")),1,0),VALUE(REPLACE(Sheet,1,FIND(".",Sheet),"")))</f>
        <v>1</v>
      </c>
      <c r="H29" s="29" t="str">
        <f t="shared" ca="1" si="1"/>
        <v/>
      </c>
    </row>
    <row r="30" spans="1:8" ht="12.75" x14ac:dyDescent="0.2">
      <c r="C30" s="5" t="str">
        <f t="shared" si="0"/>
        <v>Sheet (6)</v>
      </c>
      <c r="D30" s="5" t="str">
        <f ca="1">IF(ISREF(INDIRECT("'"&amp;Sheet.Names[[#This Row],[Worksheet]]&amp;"'!A1")),LEFT(Sheet,FIND(".",Sheet)-1)&amp;"."&amp;Sheet.Names[[#This Row],[Number]],"Undefined")</f>
        <v>Undefined</v>
      </c>
      <c r="E30" s="22" t="b">
        <f ca="1">IFERROR(IF(AND(OFFSET(Sheet.Names[[#This Row],[Header2]],-1,0)&lt;&gt;FALSE(),OFFSET(Sheet.Names[[#This Row],[Header2]],-1,0)+Table.rows&lt;=Data.rows),OFFSET(Sheet.Names[[#This Row],[Header2]],-1,0)+Table.rows),Start.Row)</f>
        <v>0</v>
      </c>
      <c r="F30" s="22" t="b">
        <f ca="1">IF(AND(Sheet.Names[[#This Row],[Header1]]&lt;&gt;FALSE(),Sheet.Names[[#This Row],[Header1]]+Table.rows&lt;=Data.rows),Sheet.Names[[#This Row],[Header1]]+Table.rows)</f>
        <v>0</v>
      </c>
      <c r="G30" s="22">
        <f ca="1">IFERROR(OFFSET(Sheet.Names[[#This Row],[Number]],-1,0)+IF(ISREF(INDIRECT("'"&amp;Sheet.Names[[#This Row],[Worksheet]]&amp;"'!A1")),1,0),VALUE(REPLACE(Sheet,1,FIND(".",Sheet),"")))</f>
        <v>1</v>
      </c>
      <c r="H30" s="29" t="str">
        <f t="shared" ca="1" si="1"/>
        <v/>
      </c>
    </row>
    <row r="31" spans="1:8" ht="12.75" x14ac:dyDescent="0.2">
      <c r="C31" s="5" t="str">
        <f t="shared" si="0"/>
        <v>Sheet (7)</v>
      </c>
      <c r="D31" s="5" t="str">
        <f ca="1">IF(ISREF(INDIRECT("'"&amp;Sheet.Names[[#This Row],[Worksheet]]&amp;"'!A1")),LEFT(Sheet,FIND(".",Sheet)-1)&amp;"."&amp;Sheet.Names[[#This Row],[Number]],"Undefined")</f>
        <v>Undefined</v>
      </c>
      <c r="E31" s="22" t="b">
        <f ca="1">IFERROR(IF(AND(OFFSET(Sheet.Names[[#This Row],[Header2]],-1,0)&lt;&gt;FALSE(),OFFSET(Sheet.Names[[#This Row],[Header2]],-1,0)+Table.rows&lt;=Data.rows),OFFSET(Sheet.Names[[#This Row],[Header2]],-1,0)+Table.rows),Start.Row)</f>
        <v>0</v>
      </c>
      <c r="F31" s="22" t="b">
        <f ca="1">IF(AND(Sheet.Names[[#This Row],[Header1]]&lt;&gt;FALSE(),Sheet.Names[[#This Row],[Header1]]+Table.rows&lt;=Data.rows),Sheet.Names[[#This Row],[Header1]]+Table.rows)</f>
        <v>0</v>
      </c>
      <c r="G31" s="22">
        <f ca="1">IFERROR(OFFSET(Sheet.Names[[#This Row],[Number]],-1,0)+IF(ISREF(INDIRECT("'"&amp;Sheet.Names[[#This Row],[Worksheet]]&amp;"'!A1")),1,0),VALUE(REPLACE(Sheet,1,FIND(".",Sheet),"")))</f>
        <v>1</v>
      </c>
      <c r="H31" s="29" t="str">
        <f t="shared" ca="1" si="1"/>
        <v/>
      </c>
    </row>
    <row r="32" spans="1:8" ht="12.75" x14ac:dyDescent="0.2">
      <c r="C32" s="5" t="str">
        <f t="shared" si="0"/>
        <v>Sheet (8)</v>
      </c>
      <c r="D32" s="5" t="str">
        <f ca="1">IF(ISREF(INDIRECT("'"&amp;Sheet.Names[[#This Row],[Worksheet]]&amp;"'!A1")),LEFT(Sheet,FIND(".",Sheet)-1)&amp;"."&amp;Sheet.Names[[#This Row],[Number]],"Undefined")</f>
        <v>Undefined</v>
      </c>
      <c r="E32" s="22" t="b">
        <f ca="1">IFERROR(IF(AND(OFFSET(Sheet.Names[[#This Row],[Header2]],-1,0)&lt;&gt;FALSE(),OFFSET(Sheet.Names[[#This Row],[Header2]],-1,0)+Table.rows&lt;=Data.rows),OFFSET(Sheet.Names[[#This Row],[Header2]],-1,0)+Table.rows),Start.Row)</f>
        <v>0</v>
      </c>
      <c r="F32" s="22" t="b">
        <f ca="1">IF(AND(Sheet.Names[[#This Row],[Header1]]&lt;&gt;FALSE(),Sheet.Names[[#This Row],[Header1]]+Table.rows&lt;=Data.rows),Sheet.Names[[#This Row],[Header1]]+Table.rows)</f>
        <v>0</v>
      </c>
      <c r="G32" s="22">
        <f ca="1">IFERROR(OFFSET(Sheet.Names[[#This Row],[Number]],-1,0)+IF(ISREF(INDIRECT("'"&amp;Sheet.Names[[#This Row],[Worksheet]]&amp;"'!A1")),1,0),VALUE(REPLACE(Sheet,1,FIND(".",Sheet),"")))</f>
        <v>1</v>
      </c>
      <c r="H32" s="29" t="str">
        <f t="shared" ca="1" si="1"/>
        <v/>
      </c>
    </row>
    <row r="33" spans="3:8" ht="12.75" x14ac:dyDescent="0.2">
      <c r="C33" s="5" t="str">
        <f t="shared" si="0"/>
        <v>Sheet (9)</v>
      </c>
      <c r="D33" s="5" t="str">
        <f ca="1">IF(ISREF(INDIRECT("'"&amp;Sheet.Names[[#This Row],[Worksheet]]&amp;"'!A1")),LEFT(Sheet,FIND(".",Sheet)-1)&amp;"."&amp;Sheet.Names[[#This Row],[Number]],"Undefined")</f>
        <v>Undefined</v>
      </c>
      <c r="E33" s="22" t="b">
        <f ca="1">IFERROR(IF(AND(OFFSET(Sheet.Names[[#This Row],[Header2]],-1,0)&lt;&gt;FALSE(),OFFSET(Sheet.Names[[#This Row],[Header2]],-1,0)+Table.rows&lt;=Data.rows),OFFSET(Sheet.Names[[#This Row],[Header2]],-1,0)+Table.rows),Start.Row)</f>
        <v>0</v>
      </c>
      <c r="F33" s="22" t="b">
        <f ca="1">IF(AND(Sheet.Names[[#This Row],[Header1]]&lt;&gt;FALSE(),Sheet.Names[[#This Row],[Header1]]+Table.rows&lt;=Data.rows),Sheet.Names[[#This Row],[Header1]]+Table.rows)</f>
        <v>0</v>
      </c>
      <c r="G33" s="22">
        <f ca="1">IFERROR(OFFSET(Sheet.Names[[#This Row],[Number]],-1,0)+IF(ISREF(INDIRECT("'"&amp;Sheet.Names[[#This Row],[Worksheet]]&amp;"'!A1")),1,0),VALUE(REPLACE(Sheet,1,FIND(".",Sheet),"")))</f>
        <v>1</v>
      </c>
      <c r="H33" s="29" t="str">
        <f t="shared" ca="1" si="1"/>
        <v/>
      </c>
    </row>
    <row r="34" spans="3:8" ht="12.75" x14ac:dyDescent="0.2">
      <c r="C34" s="5" t="str">
        <f t="shared" si="0"/>
        <v>Sheet (10)</v>
      </c>
      <c r="D34" s="5" t="str">
        <f ca="1">IF(ISREF(INDIRECT("'"&amp;Sheet.Names[[#This Row],[Worksheet]]&amp;"'!A1")),LEFT(Sheet,FIND(".",Sheet)-1)&amp;"."&amp;Sheet.Names[[#This Row],[Number]],"Undefined")</f>
        <v>Undefined</v>
      </c>
      <c r="E34" s="22" t="b">
        <f ca="1">IFERROR(IF(AND(OFFSET(Sheet.Names[[#This Row],[Header2]],-1,0)&lt;&gt;FALSE(),OFFSET(Sheet.Names[[#This Row],[Header2]],-1,0)+Table.rows&lt;=Data.rows),OFFSET(Sheet.Names[[#This Row],[Header2]],-1,0)+Table.rows),Start.Row)</f>
        <v>0</v>
      </c>
      <c r="F34" s="22" t="b">
        <f ca="1">IF(AND(Sheet.Names[[#This Row],[Header1]]&lt;&gt;FALSE(),Sheet.Names[[#This Row],[Header1]]+Table.rows&lt;=Data.rows),Sheet.Names[[#This Row],[Header1]]+Table.rows)</f>
        <v>0</v>
      </c>
      <c r="G34" s="22">
        <f ca="1">IFERROR(OFFSET(Sheet.Names[[#This Row],[Number]],-1,0)+IF(ISREF(INDIRECT("'"&amp;Sheet.Names[[#This Row],[Worksheet]]&amp;"'!A1")),1,0),VALUE(REPLACE(Sheet,1,FIND(".",Sheet),"")))</f>
        <v>1</v>
      </c>
      <c r="H34" s="29" t="str">
        <f t="shared" ca="1" si="1"/>
        <v/>
      </c>
    </row>
    <row r="35" spans="3:8" ht="12.75" x14ac:dyDescent="0.2">
      <c r="C35" s="5" t="str">
        <f t="shared" si="0"/>
        <v>Sheet (11)</v>
      </c>
      <c r="D35" s="5" t="str">
        <f ca="1">IF(ISREF(INDIRECT("'"&amp;Sheet.Names[[#This Row],[Worksheet]]&amp;"'!A1")),LEFT(Sheet,FIND(".",Sheet)-1)&amp;"."&amp;Sheet.Names[[#This Row],[Number]],"Undefined")</f>
        <v>Undefined</v>
      </c>
      <c r="E35" s="22" t="b">
        <f ca="1">IFERROR(IF(AND(OFFSET(Sheet.Names[[#This Row],[Header2]],-1,0)&lt;&gt;FALSE(),OFFSET(Sheet.Names[[#This Row],[Header2]],-1,0)+Table.rows&lt;=Data.rows),OFFSET(Sheet.Names[[#This Row],[Header2]],-1,0)+Table.rows),Start.Row)</f>
        <v>0</v>
      </c>
      <c r="F35" s="22" t="b">
        <f ca="1">IF(AND(Sheet.Names[[#This Row],[Header1]]&lt;&gt;FALSE(),Sheet.Names[[#This Row],[Header1]]+Table.rows&lt;=Data.rows),Sheet.Names[[#This Row],[Header1]]+Table.rows)</f>
        <v>0</v>
      </c>
      <c r="G35" s="22">
        <f ca="1">IFERROR(OFFSET(Sheet.Names[[#This Row],[Number]],-1,0)+IF(ISREF(INDIRECT("'"&amp;Sheet.Names[[#This Row],[Worksheet]]&amp;"'!A1")),1,0),VALUE(REPLACE(Sheet,1,FIND(".",Sheet),"")))</f>
        <v>1</v>
      </c>
      <c r="H35" s="29" t="str">
        <f t="shared" ca="1" si="1"/>
        <v/>
      </c>
    </row>
    <row r="36" spans="3:8" ht="12.75" x14ac:dyDescent="0.2">
      <c r="C36" s="5" t="str">
        <f t="shared" si="0"/>
        <v>Sheet (12)</v>
      </c>
      <c r="D36" s="5" t="str">
        <f ca="1">IF(ISREF(INDIRECT("'"&amp;Sheet.Names[[#This Row],[Worksheet]]&amp;"'!A1")),LEFT(Sheet,FIND(".",Sheet)-1)&amp;"."&amp;Sheet.Names[[#This Row],[Number]],"Undefined")</f>
        <v>Undefined</v>
      </c>
      <c r="E36" s="22" t="b">
        <f ca="1">IFERROR(IF(AND(OFFSET(Sheet.Names[[#This Row],[Header2]],-1,0)&lt;&gt;FALSE(),OFFSET(Sheet.Names[[#This Row],[Header2]],-1,0)+Table.rows&lt;=Data.rows),OFFSET(Sheet.Names[[#This Row],[Header2]],-1,0)+Table.rows),Start.Row)</f>
        <v>0</v>
      </c>
      <c r="F36" s="22" t="b">
        <f ca="1">IF(AND(Sheet.Names[[#This Row],[Header1]]&lt;&gt;FALSE(),Sheet.Names[[#This Row],[Header1]]+Table.rows&lt;=Data.rows),Sheet.Names[[#This Row],[Header1]]+Table.rows)</f>
        <v>0</v>
      </c>
      <c r="G36" s="22">
        <f ca="1">IFERROR(OFFSET(Sheet.Names[[#This Row],[Number]],-1,0)+IF(ISREF(INDIRECT("'"&amp;Sheet.Names[[#This Row],[Worksheet]]&amp;"'!A1")),1,0),VALUE(REPLACE(Sheet,1,FIND(".",Sheet),"")))</f>
        <v>1</v>
      </c>
      <c r="H36" s="29" t="str">
        <f t="shared" ca="1" si="1"/>
        <v/>
      </c>
    </row>
    <row r="37" spans="3:8" ht="12.75" x14ac:dyDescent="0.2">
      <c r="C37" s="5" t="str">
        <f t="shared" si="0"/>
        <v>Sheet (13)</v>
      </c>
      <c r="D37" s="5" t="str">
        <f ca="1">IF(ISREF(INDIRECT("'"&amp;Sheet.Names[[#This Row],[Worksheet]]&amp;"'!A1")),LEFT(Sheet,FIND(".",Sheet)-1)&amp;"."&amp;Sheet.Names[[#This Row],[Number]],"Undefined")</f>
        <v>Undefined</v>
      </c>
      <c r="E37" s="22" t="b">
        <f ca="1">IFERROR(IF(AND(OFFSET(Sheet.Names[[#This Row],[Header2]],-1,0)&lt;&gt;FALSE(),OFFSET(Sheet.Names[[#This Row],[Header2]],-1,0)+Table.rows&lt;=Data.rows),OFFSET(Sheet.Names[[#This Row],[Header2]],-1,0)+Table.rows),Start.Row)</f>
        <v>0</v>
      </c>
      <c r="F37" s="22" t="b">
        <f ca="1">IF(AND(Sheet.Names[[#This Row],[Header1]]&lt;&gt;FALSE(),Sheet.Names[[#This Row],[Header1]]+Table.rows&lt;=Data.rows),Sheet.Names[[#This Row],[Header1]]+Table.rows)</f>
        <v>0</v>
      </c>
      <c r="G37" s="22">
        <f ca="1">IFERROR(OFFSET(Sheet.Names[[#This Row],[Number]],-1,0)+IF(ISREF(INDIRECT("'"&amp;Sheet.Names[[#This Row],[Worksheet]]&amp;"'!A1")),1,0),VALUE(REPLACE(Sheet,1,FIND(".",Sheet),"")))</f>
        <v>1</v>
      </c>
      <c r="H37" s="29" t="str">
        <f t="shared" ca="1" si="1"/>
        <v/>
      </c>
    </row>
    <row r="38" spans="3:8" ht="12.75" x14ac:dyDescent="0.2">
      <c r="C38" s="5" t="str">
        <f t="shared" si="0"/>
        <v>Sheet (14)</v>
      </c>
      <c r="D38" s="5" t="str">
        <f ca="1">IF(ISREF(INDIRECT("'"&amp;Sheet.Names[[#This Row],[Worksheet]]&amp;"'!A1")),LEFT(Sheet,FIND(".",Sheet)-1)&amp;"."&amp;Sheet.Names[[#This Row],[Number]],"Undefined")</f>
        <v>Undefined</v>
      </c>
      <c r="E38" s="22" t="b">
        <f ca="1">IFERROR(IF(AND(OFFSET(Sheet.Names[[#This Row],[Header2]],-1,0)&lt;&gt;FALSE(),OFFSET(Sheet.Names[[#This Row],[Header2]],-1,0)+Table.rows&lt;=Data.rows),OFFSET(Sheet.Names[[#This Row],[Header2]],-1,0)+Table.rows),Start.Row)</f>
        <v>0</v>
      </c>
      <c r="F38" s="22" t="b">
        <f ca="1">IF(AND(Sheet.Names[[#This Row],[Header1]]&lt;&gt;FALSE(),Sheet.Names[[#This Row],[Header1]]+Table.rows&lt;=Data.rows),Sheet.Names[[#This Row],[Header1]]+Table.rows)</f>
        <v>0</v>
      </c>
      <c r="G38" s="22">
        <f ca="1">IFERROR(OFFSET(Sheet.Names[[#This Row],[Number]],-1,0)+IF(ISREF(INDIRECT("'"&amp;Sheet.Names[[#This Row],[Worksheet]]&amp;"'!A1")),1,0),VALUE(REPLACE(Sheet,1,FIND(".",Sheet),"")))</f>
        <v>1</v>
      </c>
      <c r="H38" s="29" t="str">
        <f t="shared" ca="1" si="1"/>
        <v/>
      </c>
    </row>
    <row r="39" spans="3:8" ht="12.75" x14ac:dyDescent="0.2">
      <c r="C39" s="5" t="str">
        <f t="shared" si="0"/>
        <v>Sheet (15)</v>
      </c>
      <c r="D39" s="5" t="str">
        <f ca="1">IF(ISREF(INDIRECT("'"&amp;Sheet.Names[[#This Row],[Worksheet]]&amp;"'!A1")),LEFT(Sheet,FIND(".",Sheet)-1)&amp;"."&amp;Sheet.Names[[#This Row],[Number]],"Undefined")</f>
        <v>Undefined</v>
      </c>
      <c r="E39" s="22" t="b">
        <f ca="1">IFERROR(IF(AND(OFFSET(Sheet.Names[[#This Row],[Header2]],-1,0)&lt;&gt;FALSE(),OFFSET(Sheet.Names[[#This Row],[Header2]],-1,0)+Table.rows&lt;=Data.rows),OFFSET(Sheet.Names[[#This Row],[Header2]],-1,0)+Table.rows),Start.Row)</f>
        <v>0</v>
      </c>
      <c r="F39" s="22" t="b">
        <f ca="1">IF(AND(Sheet.Names[[#This Row],[Header1]]&lt;&gt;FALSE(),Sheet.Names[[#This Row],[Header1]]+Table.rows&lt;=Data.rows),Sheet.Names[[#This Row],[Header1]]+Table.rows)</f>
        <v>0</v>
      </c>
      <c r="G39" s="22">
        <f ca="1">IFERROR(OFFSET(Sheet.Names[[#This Row],[Number]],-1,0)+IF(ISREF(INDIRECT("'"&amp;Sheet.Names[[#This Row],[Worksheet]]&amp;"'!A1")),1,0),VALUE(REPLACE(Sheet,1,FIND(".",Sheet),"")))</f>
        <v>1</v>
      </c>
      <c r="H39" s="29" t="str">
        <f t="shared" ca="1" si="1"/>
        <v/>
      </c>
    </row>
    <row r="40" spans="3:8" ht="12.75" x14ac:dyDescent="0.2">
      <c r="C40" s="5" t="str">
        <f t="shared" si="0"/>
        <v>Sheet (16)</v>
      </c>
      <c r="D40" s="5" t="str">
        <f ca="1">IF(ISREF(INDIRECT("'"&amp;Sheet.Names[[#This Row],[Worksheet]]&amp;"'!A1")),LEFT(Sheet,FIND(".",Sheet)-1)&amp;"."&amp;Sheet.Names[[#This Row],[Number]],"Undefined")</f>
        <v>Undefined</v>
      </c>
      <c r="E40" s="22" t="b">
        <f ca="1">IFERROR(IF(AND(OFFSET(Sheet.Names[[#This Row],[Header2]],-1,0)&lt;&gt;FALSE(),OFFSET(Sheet.Names[[#This Row],[Header2]],-1,0)+Table.rows&lt;=Data.rows),OFFSET(Sheet.Names[[#This Row],[Header2]],-1,0)+Table.rows),Start.Row)</f>
        <v>0</v>
      </c>
      <c r="F40" s="22" t="b">
        <f ca="1">IF(AND(Sheet.Names[[#This Row],[Header1]]&lt;&gt;FALSE(),Sheet.Names[[#This Row],[Header1]]+Table.rows&lt;=Data.rows),Sheet.Names[[#This Row],[Header1]]+Table.rows)</f>
        <v>0</v>
      </c>
      <c r="G40" s="22">
        <f ca="1">IFERROR(OFFSET(Sheet.Names[[#This Row],[Number]],-1,0)+IF(ISREF(INDIRECT("'"&amp;Sheet.Names[[#This Row],[Worksheet]]&amp;"'!A1")),1,0),VALUE(REPLACE(Sheet,1,FIND(".",Sheet),"")))</f>
        <v>1</v>
      </c>
      <c r="H40" s="29" t="str">
        <f t="shared" ca="1" si="1"/>
        <v/>
      </c>
    </row>
    <row r="41" spans="3:8" ht="12.75" x14ac:dyDescent="0.2">
      <c r="C41" s="5" t="str">
        <f t="shared" si="0"/>
        <v>Sheet (17)</v>
      </c>
      <c r="D41" s="5" t="str">
        <f ca="1">IF(ISREF(INDIRECT("'"&amp;Sheet.Names[[#This Row],[Worksheet]]&amp;"'!A1")),LEFT(Sheet,FIND(".",Sheet)-1)&amp;"."&amp;Sheet.Names[[#This Row],[Number]],"Undefined")</f>
        <v>Undefined</v>
      </c>
      <c r="E41" s="22" t="b">
        <f ca="1">IFERROR(IF(AND(OFFSET(Sheet.Names[[#This Row],[Header2]],-1,0)&lt;&gt;FALSE(),OFFSET(Sheet.Names[[#This Row],[Header2]],-1,0)+Table.rows&lt;=Data.rows),OFFSET(Sheet.Names[[#This Row],[Header2]],-1,0)+Table.rows),Start.Row)</f>
        <v>0</v>
      </c>
      <c r="F41" s="22" t="b">
        <f ca="1">IF(AND(Sheet.Names[[#This Row],[Header1]]&lt;&gt;FALSE(),Sheet.Names[[#This Row],[Header1]]+Table.rows&lt;=Data.rows),Sheet.Names[[#This Row],[Header1]]+Table.rows)</f>
        <v>0</v>
      </c>
      <c r="G41" s="22">
        <f ca="1">IFERROR(OFFSET(Sheet.Names[[#This Row],[Number]],-1,0)+IF(ISREF(INDIRECT("'"&amp;Sheet.Names[[#This Row],[Worksheet]]&amp;"'!A1")),1,0),VALUE(REPLACE(Sheet,1,FIND(".",Sheet),"")))</f>
        <v>1</v>
      </c>
      <c r="H41" s="29" t="str">
        <f t="shared" ca="1" si="1"/>
        <v/>
      </c>
    </row>
    <row r="42" spans="3:8" ht="12.75" x14ac:dyDescent="0.2">
      <c r="C42" s="5" t="str">
        <f t="shared" si="0"/>
        <v>Sheet (18)</v>
      </c>
      <c r="D42" s="5" t="str">
        <f ca="1">IF(ISREF(INDIRECT("'"&amp;Sheet.Names[[#This Row],[Worksheet]]&amp;"'!A1")),LEFT(Sheet,FIND(".",Sheet)-1)&amp;"."&amp;Sheet.Names[[#This Row],[Number]],"Undefined")</f>
        <v>Undefined</v>
      </c>
      <c r="E42" s="22" t="b">
        <f ca="1">IFERROR(IF(AND(OFFSET(Sheet.Names[[#This Row],[Header2]],-1,0)&lt;&gt;FALSE(),OFFSET(Sheet.Names[[#This Row],[Header2]],-1,0)+Table.rows&lt;=Data.rows),OFFSET(Sheet.Names[[#This Row],[Header2]],-1,0)+Table.rows),Start.Row)</f>
        <v>0</v>
      </c>
      <c r="F42" s="22" t="b">
        <f ca="1">IF(AND(Sheet.Names[[#This Row],[Header1]]&lt;&gt;FALSE(),Sheet.Names[[#This Row],[Header1]]+Table.rows&lt;=Data.rows),Sheet.Names[[#This Row],[Header1]]+Table.rows)</f>
        <v>0</v>
      </c>
      <c r="G42" s="22">
        <f ca="1">IFERROR(OFFSET(Sheet.Names[[#This Row],[Number]],-1,0)+IF(ISREF(INDIRECT("'"&amp;Sheet.Names[[#This Row],[Worksheet]]&amp;"'!A1")),1,0),VALUE(REPLACE(Sheet,1,FIND(".",Sheet),"")))</f>
        <v>1</v>
      </c>
      <c r="H42" s="29" t="str">
        <f t="shared" ca="1" si="1"/>
        <v/>
      </c>
    </row>
    <row r="43" spans="3:8" ht="12.75" x14ac:dyDescent="0.2">
      <c r="C43" s="5" t="str">
        <f t="shared" si="0"/>
        <v>Sheet (19)</v>
      </c>
      <c r="D43" s="5" t="str">
        <f ca="1">IF(ISREF(INDIRECT("'"&amp;Sheet.Names[[#This Row],[Worksheet]]&amp;"'!A1")),LEFT(Sheet,FIND(".",Sheet)-1)&amp;"."&amp;Sheet.Names[[#This Row],[Number]],"Undefined")</f>
        <v>Undefined</v>
      </c>
      <c r="E43" s="22" t="b">
        <f ca="1">IFERROR(IF(AND(OFFSET(Sheet.Names[[#This Row],[Header2]],-1,0)&lt;&gt;FALSE(),OFFSET(Sheet.Names[[#This Row],[Header2]],-1,0)+Table.rows&lt;=Data.rows),OFFSET(Sheet.Names[[#This Row],[Header2]],-1,0)+Table.rows),Start.Row)</f>
        <v>0</v>
      </c>
      <c r="F43" s="22" t="b">
        <f ca="1">IF(AND(Sheet.Names[[#This Row],[Header1]]&lt;&gt;FALSE(),Sheet.Names[[#This Row],[Header1]]+Table.rows&lt;=Data.rows),Sheet.Names[[#This Row],[Header1]]+Table.rows)</f>
        <v>0</v>
      </c>
      <c r="G43" s="22">
        <f ca="1">IFERROR(OFFSET(Sheet.Names[[#This Row],[Number]],-1,0)+IF(ISREF(INDIRECT("'"&amp;Sheet.Names[[#This Row],[Worksheet]]&amp;"'!A1")),1,0),VALUE(REPLACE(Sheet,1,FIND(".",Sheet),"")))</f>
        <v>1</v>
      </c>
      <c r="H43" s="29" t="str">
        <f t="shared" ca="1" si="1"/>
        <v/>
      </c>
    </row>
    <row r="44" spans="3:8" ht="12.75" x14ac:dyDescent="0.2">
      <c r="C44" s="5" t="str">
        <f t="shared" si="0"/>
        <v>Sheet (20)</v>
      </c>
      <c r="D44" s="5" t="str">
        <f ca="1">IF(ISREF(INDIRECT("'"&amp;Sheet.Names[[#This Row],[Worksheet]]&amp;"'!A1")),LEFT(Sheet,FIND(".",Sheet)-1)&amp;"."&amp;Sheet.Names[[#This Row],[Number]],"Undefined")</f>
        <v>Undefined</v>
      </c>
      <c r="E44" s="22" t="b">
        <f ca="1">IFERROR(IF(AND(OFFSET(Sheet.Names[[#This Row],[Header2]],-1,0)&lt;&gt;FALSE(),OFFSET(Sheet.Names[[#This Row],[Header2]],-1,0)+Table.rows&lt;=Data.rows),OFFSET(Sheet.Names[[#This Row],[Header2]],-1,0)+Table.rows),Start.Row)</f>
        <v>0</v>
      </c>
      <c r="F44" s="22" t="b">
        <f ca="1">IF(AND(Sheet.Names[[#This Row],[Header1]]&lt;&gt;FALSE(),Sheet.Names[[#This Row],[Header1]]+Table.rows&lt;=Data.rows),Sheet.Names[[#This Row],[Header1]]+Table.rows)</f>
        <v>0</v>
      </c>
      <c r="G44" s="22">
        <f ca="1">IFERROR(OFFSET(Sheet.Names[[#This Row],[Number]],-1,0)+IF(ISREF(INDIRECT("'"&amp;Sheet.Names[[#This Row],[Worksheet]]&amp;"'!A1")),1,0),VALUE(REPLACE(Sheet,1,FIND(".",Sheet),"")))</f>
        <v>1</v>
      </c>
      <c r="H44" s="29" t="str">
        <f t="shared" ca="1" si="1"/>
        <v/>
      </c>
    </row>
    <row r="45" spans="3:8" ht="12.75" x14ac:dyDescent="0.2">
      <c r="C45" s="5" t="s">
        <v>36</v>
      </c>
      <c r="D45" s="22">
        <f ca="1">COUNTIF(Sheet.Names[Sheet],"&lt;&gt;Undefined")</f>
        <v>1</v>
      </c>
      <c r="E45" s="5">
        <f ca="1">MAX(COUNTIF(Sheet.Names[Header1],"&lt;&gt;FALSE")-D45,0)</f>
        <v>1</v>
      </c>
      <c r="F45" s="5"/>
      <c r="G45" s="5" t="str">
        <f ca="1">"sheet"&amp;IF(E45&lt;&gt;1,"s","")&amp;" missing"</f>
        <v>sheet missing</v>
      </c>
      <c r="H45" s="5"/>
    </row>
    <row r="46" spans="3:8" x14ac:dyDescent="0.15"/>
    <row r="47" spans="3:8" x14ac:dyDescent="0.15">
      <c r="C47" s="8" t="s">
        <v>7</v>
      </c>
      <c r="D47" s="9">
        <v>45516</v>
      </c>
      <c r="E47" s="9"/>
      <c r="F47" s="9"/>
    </row>
    <row r="48" spans="3:8" x14ac:dyDescent="0.15"/>
    <row r="49" x14ac:dyDescent="0.15"/>
  </sheetData>
  <sheetProtection sheet="1" objects="1" scenarios="1"/>
  <mergeCells count="7">
    <mergeCell ref="F18:H20"/>
    <mergeCell ref="B7:F7"/>
    <mergeCell ref="B3:F3"/>
    <mergeCell ref="B4:F4"/>
    <mergeCell ref="F17:G17"/>
    <mergeCell ref="D9:F10"/>
    <mergeCell ref="D8:G8"/>
  </mergeCells>
  <phoneticPr fontId="1" type="noConversion"/>
  <conditionalFormatting sqref="F18:H18">
    <cfRule type="expression" dxfId="38" priority="10" stopIfTrue="1">
      <formula>LEN(F18)&gt;12</formula>
    </cfRule>
  </conditionalFormatting>
  <conditionalFormatting sqref="I46:I59">
    <cfRule type="expression" dxfId="37" priority="19">
      <formula>CELL("protect",#REF!)=0</formula>
    </cfRule>
  </conditionalFormatting>
  <conditionalFormatting sqref="H25:H44">
    <cfRule type="expression" dxfId="36" priority="4">
      <formula>ISNUMBER(FIND("&lt;",H25))</formula>
    </cfRule>
  </conditionalFormatting>
  <conditionalFormatting sqref="H25:H44 D25:D44">
    <cfRule type="expression" dxfId="35" priority="3">
      <formula>OR(D25="&lt;Delete",D25="Undefined")</formula>
    </cfRule>
  </conditionalFormatting>
  <conditionalFormatting sqref="N39:AA39">
    <cfRule type="expression" dxfId="34" priority="22">
      <formula>CELL("protect",N24)=0</formula>
    </cfRule>
  </conditionalFormatting>
  <conditionalFormatting sqref="J23:K23">
    <cfRule type="expression" dxfId="33" priority="32">
      <formula>CELL("protect",#REF!)=0</formula>
    </cfRule>
  </conditionalFormatting>
  <conditionalFormatting sqref="C14">
    <cfRule type="expression" dxfId="32" priority="44" stopIfTrue="1">
      <formula>ISNUMBER(FIND("NOT",D14))</formula>
    </cfRule>
  </conditionalFormatting>
  <conditionalFormatting sqref="M46:Z58">
    <cfRule type="expression" dxfId="31" priority="54">
      <formula>CELL("protect",N33)=0</formula>
    </cfRule>
  </conditionalFormatting>
  <conditionalFormatting sqref="M59:Z59">
    <cfRule type="expression" dxfId="30" priority="55">
      <formula>CELL("protect",#REF!)=0</formula>
    </cfRule>
  </conditionalFormatting>
  <conditionalFormatting sqref="I46:L59">
    <cfRule type="expression" dxfId="29" priority="59">
      <formula>CELL("protect",C32)=0</formula>
    </cfRule>
  </conditionalFormatting>
  <conditionalFormatting sqref="J46:M59">
    <cfRule type="expression" dxfId="28" priority="60">
      <formula>CELL("protect",C31)=0</formula>
    </cfRule>
  </conditionalFormatting>
  <conditionalFormatting sqref="H46:H59">
    <cfRule type="expression" dxfId="27" priority="61">
      <formula>CELL("protect",H32)=0</formula>
    </cfRule>
  </conditionalFormatting>
  <conditionalFormatting sqref="E45:G45">
    <cfRule type="expression" dxfId="26" priority="2">
      <formula>$E$45&gt;0</formula>
    </cfRule>
  </conditionalFormatting>
  <conditionalFormatting sqref="B17:C17">
    <cfRule type="expression" dxfId="25" priority="62">
      <formula>CELL("protect",#REF!)=0</formula>
    </cfRule>
  </conditionalFormatting>
  <conditionalFormatting sqref="C9:C10">
    <cfRule type="expression" dxfId="24" priority="1">
      <formula>LEN(SUBSTITUTE(SUBSTITUTE($C9,".","")," ",""))&lt;=9</formula>
    </cfRule>
  </conditionalFormatting>
  <conditionalFormatting sqref="N25:AA25">
    <cfRule type="expression" dxfId="23" priority="63">
      <formula>CELL("protect",#REF!)=0</formula>
    </cfRule>
  </conditionalFormatting>
  <conditionalFormatting sqref="N26:AA38">
    <cfRule type="expression" dxfId="22" priority="64">
      <formula>CELL("protect",M11)=0</formula>
    </cfRule>
  </conditionalFormatting>
  <conditionalFormatting sqref="N46:Z59">
    <cfRule type="expression" dxfId="21" priority="66">
      <formula>CELL("protect",N33)=0</formula>
    </cfRule>
  </conditionalFormatting>
  <dataValidations count="8">
    <dataValidation allowBlank="1" showInputMessage="1" showErrorMessage="1" promptTitle="Base sheet name" prompt="The default name for the worksheets containing the plan sheets (Used in calculating subsequent worksheet names below)" sqref="C17" xr:uid="{00000000-0002-0000-0000-000000000000}"/>
    <dataValidation allowBlank="1" showInputMessage="1" showErrorMessage="1" promptTitle="First Sheet Number" prompt="Input the number of the first sheet.  Any following sheets will be numbered sequentially." sqref="C11" xr:uid="{00000000-0002-0000-0000-000001000000}"/>
    <dataValidation type="list" allowBlank="1" showInputMessage="1" showErrorMessage="1" promptTitle="Show totals?" prompt="If there is more than one sheet, do you want to show the sheet totals in the title block? i.e. Sheet 1 of n" sqref="C13" xr:uid="{00000000-0002-0000-0000-000002000000}">
      <formula1>"True,False"</formula1>
    </dataValidation>
    <dataValidation allowBlank="1" showInputMessage="1" showErrorMessage="1" promptTitle="Data location" prompt="The name of the worksheet containing the data" sqref="C14" xr:uid="{00000000-0002-0000-0000-000003000000}"/>
    <dataValidation allowBlank="1" showInputMessage="1" showErrorMessage="1" promptTitle="Data begins in column" prompt="The column in the data location worksheet where the data begins (usually &quot;A&quot;)" sqref="C15" xr:uid="{00000000-0002-0000-0000-000004000000}"/>
    <dataValidation allowBlank="1" showInputMessage="1" showErrorMessage="1" promptTitle="Minimum rows per table" prompt="The minimum numbers of rows per table.  Allows user to avoid having 1 or 2 points alone on a table." sqref="C16" xr:uid="{00000000-0002-0000-0000-000005000000}"/>
    <dataValidation allowBlank="1" showInputMessage="1" showErrorMessage="1" promptTitle="Title block text" prompt="The text placed in the title block of every sheet" sqref="C12" xr:uid="{00000000-0002-0000-0000-000006000000}"/>
    <dataValidation allowBlank="1" showInputMessage="1" showErrorMessage="1" promptTitle="NPS Numbers" prompt="Field greyed out and not visible on the sheet until additional text is added" sqref="C9:C10" xr:uid="{2FD23817-D9FF-4E31-8E1C-5C38C7AA6B9F}"/>
  </dataValidations>
  <pageMargins left="0.75" right="0.75" top="1" bottom="1" header="0.5" footer="0.5"/>
  <pageSetup orientation="portrait" horizontalDpi="1200" verticalDpi="1200"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B7DE-09EB-4293-BE57-6F77EE23FA7F}">
  <dimension ref="A1:T55"/>
  <sheetViews>
    <sheetView showGridLines="0" showRowColHeaders="0" showZeros="0" topLeftCell="H39" zoomScaleNormal="100" workbookViewId="0">
      <selection activeCell="O48" sqref="O48"/>
    </sheetView>
  </sheetViews>
  <sheetFormatPr defaultColWidth="9.7109375" defaultRowHeight="10.5" x14ac:dyDescent="0.15"/>
  <cols>
    <col min="1" max="1" width="11.7109375" customWidth="1"/>
    <col min="2" max="2" width="12.7109375" customWidth="1"/>
    <col min="3" max="3" width="2.140625" customWidth="1"/>
    <col min="4" max="4" width="7.7109375" customWidth="1"/>
    <col min="5" max="5" width="9.7109375" customWidth="1"/>
    <col min="6" max="7" width="14.7109375" customWidth="1"/>
    <col min="8" max="8" width="11.7109375" customWidth="1"/>
    <col min="9" max="9" width="44.7109375" customWidth="1"/>
    <col min="10" max="10" width="7.7109375" customWidth="1"/>
    <col min="11" max="11" width="9.7109375" customWidth="1"/>
    <col min="12" max="13" width="14.7109375" customWidth="1"/>
    <col min="14" max="14" width="11.7109375" customWidth="1"/>
    <col min="15" max="15" width="44.7109375" customWidth="1"/>
    <col min="16" max="16" width="10.85546875" customWidth="1"/>
    <col min="17" max="17" width="2.140625" customWidth="1"/>
    <col min="18" max="19" width="9.7109375" customWidth="1"/>
  </cols>
  <sheetData>
    <row r="1" spans="1:20" ht="12.75" x14ac:dyDescent="0.2">
      <c r="A1" s="3" t="s">
        <v>2</v>
      </c>
    </row>
    <row r="2" spans="1:20" x14ac:dyDescent="0.15">
      <c r="A2" s="16" t="s">
        <v>20</v>
      </c>
      <c r="B2" s="17" t="str">
        <f ca="1">INDEX(Sheet.Names[Sheet],MATCH(B3,Sheet.Names[Worksheet],0))</f>
        <v>D.1</v>
      </c>
      <c r="C2" s="4" t="s">
        <v>1</v>
      </c>
      <c r="M2">
        <f ca="1">CELL("protect",O21)</f>
        <v>1</v>
      </c>
    </row>
    <row r="3" spans="1:20" x14ac:dyDescent="0.15">
      <c r="A3" s="16" t="s">
        <v>21</v>
      </c>
      <c r="B3" s="18" t="str">
        <f ca="1">RIGHT(Filename,LEN(Filename)-FIND("]",Filename))</f>
        <v>Sheet</v>
      </c>
      <c r="C3" s="1" t="str">
        <f ca="1">IF(ISNUMBER(FIND("\PW_Production\",CELL("filename",C3))),SUBSTITUTE(CELL("filename",C3),LEFT(CELL("filename",C3),FIND("[",CELL("filename",C3))-1),""),CELL("filename",C3))</f>
        <v>C:\pw-work\d0561506\[control-sheet-assumed.xlsx]Sheet</v>
      </c>
    </row>
    <row r="4" spans="1:20" x14ac:dyDescent="0.15">
      <c r="A4" s="16" t="s">
        <v>22</v>
      </c>
      <c r="B4" s="19" t="str">
        <f ca="1">IF(AND(Needed&gt;1,Show_totals),"Sheet "&amp;REPLACE(Sheet.number,1,FIND(".",Sheet.number),"")-REPLACE(Sheet,1,FIND(".",Sheet),"")+1&amp;" of "&amp;Needed,"")</f>
        <v>Sheet 1 of 2</v>
      </c>
      <c r="C4" s="4" t="s">
        <v>3</v>
      </c>
    </row>
    <row r="5" spans="1:20" x14ac:dyDescent="0.15">
      <c r="C5" s="2" t="str">
        <f ca="1">TEXT(NOW(),"d-mmm-yyyy h:mm AM/PM")</f>
        <v>12-Aug-2024 11:38 AM</v>
      </c>
    </row>
    <row r="6" spans="1:20" ht="9.75" customHeight="1" x14ac:dyDescent="0.15">
      <c r="D6" s="47" t="s">
        <v>31</v>
      </c>
      <c r="E6" s="10" t="str">
        <f>Data_col</f>
        <v>A</v>
      </c>
      <c r="F6" s="10" t="str">
        <f>IF(LEN(E6)=1,IF(E6="Z","A",""),IF(RIGHT(E6,1)="Z",CHAR(CODE(LEFT(E6,1))+1),LEFT(E6,1)))&amp;IF(RIGHT(E6,1)="Z","A",CHAR(CODE(RIGHT(E6,1))+1))</f>
        <v>B</v>
      </c>
      <c r="G6" s="10" t="str">
        <f>IF(LEN(F6)=1,IF(F6="Z","A",""),IF(RIGHT(F6,1)="Z",CHAR(CODE(LEFT(F6,1))+1),LEFT(F6,1)))&amp;IF(RIGHT(F6,1)="Z","A",CHAR(CODE(RIGHT(F6,1))+1))</f>
        <v>C</v>
      </c>
      <c r="H6" s="10" t="str">
        <f t="shared" ref="H6:I6" si="0">IF(LEN(G6)=1,IF(G6="Z","A",""),IF(RIGHT(G6,1)="Z",CHAR(CODE(LEFT(G6,1))+1),LEFT(G6,1)))&amp;IF(RIGHT(G6,1)="Z","A",CHAR(CODE(RIGHT(G6,1))+1))</f>
        <v>D</v>
      </c>
      <c r="I6" s="10" t="str">
        <f t="shared" si="0"/>
        <v>E</v>
      </c>
      <c r="J6" s="10"/>
      <c r="K6" s="10" t="s">
        <v>14</v>
      </c>
      <c r="L6" s="10" t="s">
        <v>53</v>
      </c>
      <c r="M6" s="10" t="s">
        <v>54</v>
      </c>
      <c r="N6" s="10" t="s">
        <v>55</v>
      </c>
      <c r="O6" s="10" t="s">
        <v>56</v>
      </c>
    </row>
    <row r="7" spans="1:20" s="42" customFormat="1" ht="8.25" x14ac:dyDescent="0.15">
      <c r="D7" s="43"/>
      <c r="E7" s="44"/>
      <c r="F7" s="44"/>
      <c r="G7" s="44"/>
      <c r="H7" s="44"/>
      <c r="I7" s="44"/>
      <c r="J7" s="44"/>
      <c r="K7" s="44"/>
      <c r="L7" s="44"/>
      <c r="M7" s="44"/>
      <c r="N7" s="43"/>
      <c r="P7" s="43" t="str" cm="1">
        <f t="array" ref="P7">IF(LEN(SUBSTITUTE(SUBSTITUTE(NPS.PMIS,".","")," ",""))&gt;9,NPS.PMIS,"")&amp;IF(LEN(SUBSTITUTE(SUBSTITUTE(NPS.Drwg,".","")," ",""))&gt;9,REPT(" ",3)&amp;NPS.Drwg,"")</f>
        <v/>
      </c>
    </row>
    <row r="8" spans="1:20" ht="15" x14ac:dyDescent="0.2">
      <c r="C8" s="109" t="str">
        <f ca="1">" "&amp;CELL("filename",Filename)</f>
        <v> C:\pw-work\d0561506\[control-sheet-assumed.xlsx]Sheet</v>
      </c>
      <c r="D8" s="64"/>
      <c r="E8" s="31"/>
      <c r="F8" s="31"/>
      <c r="G8" s="31"/>
      <c r="H8" s="31"/>
      <c r="I8" s="31"/>
      <c r="J8" s="31"/>
      <c r="K8" s="31"/>
      <c r="L8" s="31"/>
      <c r="M8" s="31"/>
      <c r="N8" s="31"/>
      <c r="O8" s="31"/>
      <c r="P8" s="31"/>
      <c r="Q8" s="31"/>
    </row>
    <row r="9" spans="1:20" ht="54" customHeight="1" x14ac:dyDescent="0.2">
      <c r="C9" s="109"/>
      <c r="D9" s="64"/>
      <c r="E9" s="118" t="str">
        <f ca="1">_xlfn.TEXTBEFORE(Heading,CHAR(10)&amp;CHAR(10))&amp;CHAR(10)&amp;CHAR(10)&amp;CLEAN(_xlfn.TEXTAFTER(Heading,CHAR(10)&amp;CHAR(10),2))</f>
        <v>PROJECT : xxxxxxx HIGHWAY
DATE OF FIELD WORK : ???
DATE OF FINAL ADJUSTMENT : ???
PROJECT UNITS : US SURVEY FOOT</v>
      </c>
      <c r="F9" s="118"/>
      <c r="G9" s="118"/>
      <c r="H9" s="118"/>
      <c r="I9" s="118"/>
      <c r="J9" s="117" t="str">
        <f ca="1">_xlfn.TEXTAFTER(_xlfn.TEXTBEFORE(Heading,CHAR(10)&amp;CHAR(10),2),CHAR(10)&amp;CHAR(10))</f>
        <v>COORDINATE SYSTEM : Assumed
VERTICAL DATUM : Assumed</v>
      </c>
      <c r="K9" s="117"/>
      <c r="L9" s="117"/>
      <c r="M9" s="117"/>
      <c r="N9" s="117"/>
      <c r="O9" s="117"/>
      <c r="P9" s="32"/>
      <c r="Q9" s="31"/>
    </row>
    <row r="10" spans="1:20" ht="15" customHeight="1" thickBot="1" x14ac:dyDescent="0.25">
      <c r="C10" s="109"/>
      <c r="D10" s="64"/>
      <c r="E10" s="33"/>
      <c r="F10" s="33"/>
      <c r="G10" s="33"/>
      <c r="H10" s="33"/>
      <c r="I10" s="33"/>
      <c r="J10" s="33"/>
      <c r="K10" s="33"/>
      <c r="L10" s="33"/>
      <c r="M10" s="31"/>
      <c r="N10" s="32"/>
      <c r="O10" s="32"/>
      <c r="P10" s="32"/>
      <c r="Q10" s="31"/>
      <c r="S10" s="93"/>
    </row>
    <row r="11" spans="1:20" ht="14.25" customHeight="1" x14ac:dyDescent="0.2">
      <c r="C11" s="109"/>
      <c r="D11" s="60"/>
      <c r="E11" s="34"/>
      <c r="F11" s="110" t="s">
        <v>44</v>
      </c>
      <c r="G11" s="111"/>
      <c r="H11" s="112"/>
      <c r="I11" s="35"/>
      <c r="J11" s="31"/>
      <c r="K11" s="34"/>
      <c r="L11" s="110" t="str">
        <f ca="1">IF(Header2&lt;&gt;FALSE(),"PROJECT COORDINATES","")</f>
        <v>PROJECT COORDINATES</v>
      </c>
      <c r="M11" s="111"/>
      <c r="N11" s="112"/>
      <c r="O11" s="35"/>
      <c r="P11" s="32"/>
      <c r="Q11" s="31"/>
    </row>
    <row r="12" spans="1:20" ht="21.75" thickBot="1" x14ac:dyDescent="0.25">
      <c r="A12" s="115">
        <f ca="1">INDEX(Sheet.Names[Header1],MATCH(Sheet.number,Sheet.Names[Sheet],0))</f>
        <v>3</v>
      </c>
      <c r="B12" s="116"/>
      <c r="C12" s="109"/>
      <c r="D12" s="60"/>
      <c r="E12" s="36" t="s">
        <v>9</v>
      </c>
      <c r="F12" s="37" t="s">
        <v>10</v>
      </c>
      <c r="G12" s="37" t="s">
        <v>11</v>
      </c>
      <c r="H12" s="37" t="s">
        <v>12</v>
      </c>
      <c r="I12" s="38" t="s">
        <v>13</v>
      </c>
      <c r="J12" s="31"/>
      <c r="K12" s="36" t="str">
        <f ca="1">IF(Header2&lt;&gt;FALSE(),"POINT
NUMBER","")</f>
        <v>POINT
NUMBER</v>
      </c>
      <c r="L12" s="37" t="str">
        <f ca="1">IF(Header2&lt;&gt;FALSE(),"NORTH","")</f>
        <v>NORTH</v>
      </c>
      <c r="M12" s="37" t="str">
        <f ca="1">IF(Header2&lt;&gt;FALSE(),"EAST","")</f>
        <v>EAST</v>
      </c>
      <c r="N12" s="37" t="str">
        <f ca="1">IF(Header2&lt;&gt;FALSE(),"ELEVATION","")</f>
        <v>ELEVATION</v>
      </c>
      <c r="O12" s="38" t="str">
        <f ca="1">IF(Header2&lt;&gt;FALSE(),"DESCRIPTION","")</f>
        <v>DESCRIPTION</v>
      </c>
      <c r="Q12" s="31"/>
      <c r="S12" s="113">
        <f ca="1">INDEX(Sheet.Names[Header2],MATCH(Sheet.number,Sheet.Names[Sheet],0))</f>
        <v>38</v>
      </c>
      <c r="T12" s="114"/>
    </row>
    <row r="13" spans="1:20" ht="15.75" customHeight="1" thickTop="1" thickBot="1" x14ac:dyDescent="0.25">
      <c r="A13" s="25" t="str">
        <f ca="1">IF(A12=FALSE(),"SHEET NOT NEEDED!","")</f>
        <v/>
      </c>
      <c r="B13" s="25"/>
      <c r="C13" s="109"/>
      <c r="D13" s="60"/>
      <c r="E13" s="39">
        <f t="shared" ref="E13:I22" ca="1" si="1">IF(Header1&lt;&gt;FALSE(),IF(ROW()-ROW(Header1)&lt;=Table.rows,INDIRECT("'"&amp;Location&amp;"'!"&amp;E$6&amp;Header1+ROW()-ROW(Header1)),""),"")</f>
        <v>99001</v>
      </c>
      <c r="F13" s="40">
        <f t="shared" ca="1" si="1"/>
        <v>97362.494999999995</v>
      </c>
      <c r="G13" s="40">
        <f t="shared" ca="1" si="1"/>
        <v>98691.236999999994</v>
      </c>
      <c r="H13" s="40">
        <f t="shared" ca="1" si="1"/>
        <v>171.83600000000001</v>
      </c>
      <c r="I13" s="41" t="str">
        <f t="shared" ca="1" si="1"/>
        <v>1/2" IR w/ yellow FHWA plastic cap</v>
      </c>
      <c r="J13" s="31"/>
      <c r="K13" s="39">
        <f t="shared" ref="K13:O22" ca="1" si="2">IF(Header2&lt;&gt;FALSE(),IF(ROW()-ROW(Header2)&lt;=Table.rows,INDIRECT("'"&amp;Location&amp;"'!"&amp;K$6&amp;Header2+ROW()-ROW(Header2)),""),"")</f>
        <v>99036</v>
      </c>
      <c r="L13" s="40">
        <f t="shared" ca="1" si="2"/>
        <v>112864.325</v>
      </c>
      <c r="M13" s="40">
        <f t="shared" ca="1" si="2"/>
        <v>104589.84600000001</v>
      </c>
      <c r="N13" s="40">
        <f t="shared" ca="1" si="2"/>
        <v>621.40899999999999</v>
      </c>
      <c r="O13" s="41" t="str">
        <f t="shared" ca="1" si="2"/>
        <v>1/2" IR w/ yellow FHWA plastic cap</v>
      </c>
      <c r="Q13" s="31"/>
    </row>
    <row r="14" spans="1:20" ht="15" customHeight="1" thickBot="1" x14ac:dyDescent="0.25">
      <c r="C14" s="109"/>
      <c r="D14" s="60"/>
      <c r="E14" s="39">
        <f t="shared" ca="1" si="1"/>
        <v>99002</v>
      </c>
      <c r="F14" s="40">
        <f t="shared" ca="1" si="1"/>
        <v>97940.959000000003</v>
      </c>
      <c r="G14" s="40">
        <f t="shared" ca="1" si="1"/>
        <v>98501.731</v>
      </c>
      <c r="H14" s="40">
        <f t="shared" ca="1" si="1"/>
        <v>173.696</v>
      </c>
      <c r="I14" s="41" t="str">
        <f t="shared" ca="1" si="1"/>
        <v>1/2" IR w/ yellow FHWA plastic cap</v>
      </c>
      <c r="J14" s="31"/>
      <c r="K14" s="39">
        <f t="shared" ca="1" si="2"/>
        <v>99037</v>
      </c>
      <c r="L14" s="40">
        <f t="shared" ca="1" si="2"/>
        <v>113260.69100000001</v>
      </c>
      <c r="M14" s="40">
        <f t="shared" ca="1" si="2"/>
        <v>105153.41099999999</v>
      </c>
      <c r="N14" s="40">
        <f t="shared" ca="1" si="2"/>
        <v>642.10699999999997</v>
      </c>
      <c r="O14" s="41" t="str">
        <f t="shared" ca="1" si="2"/>
        <v>1/2" IR w/ yellow FHWA plastic cap</v>
      </c>
      <c r="Q14" s="31"/>
    </row>
    <row r="15" spans="1:20" ht="15" customHeight="1" thickBot="1" x14ac:dyDescent="0.25">
      <c r="C15" s="109"/>
      <c r="D15" s="60"/>
      <c r="E15" s="39">
        <f t="shared" ca="1" si="1"/>
        <v>99003</v>
      </c>
      <c r="F15" s="40">
        <f t="shared" ca="1" si="1"/>
        <v>98425</v>
      </c>
      <c r="G15" s="40">
        <f t="shared" ca="1" si="1"/>
        <v>98425</v>
      </c>
      <c r="H15" s="40">
        <f t="shared" ca="1" si="1"/>
        <v>175.43299999999999</v>
      </c>
      <c r="I15" s="41" t="str">
        <f t="shared" ca="1" si="1"/>
        <v>5/8" IR w/ 2" Aluminum FHWA cap</v>
      </c>
      <c r="J15" s="31"/>
      <c r="K15" s="39">
        <f t="shared" ca="1" si="2"/>
        <v>99038</v>
      </c>
      <c r="L15" s="40">
        <f t="shared" ca="1" si="2"/>
        <v>113912.099</v>
      </c>
      <c r="M15" s="40">
        <f t="shared" ca="1" si="2"/>
        <v>105737.74800000001</v>
      </c>
      <c r="N15" s="40">
        <f t="shared" ca="1" si="2"/>
        <v>659.76</v>
      </c>
      <c r="O15" s="41" t="str">
        <f t="shared" ca="1" si="2"/>
        <v>1/2" IR w/ yellow FHWA plastic cap</v>
      </c>
      <c r="Q15" s="31"/>
    </row>
    <row r="16" spans="1:20" ht="15" customHeight="1" thickBot="1" x14ac:dyDescent="0.25">
      <c r="C16" s="109"/>
      <c r="D16" s="60"/>
      <c r="E16" s="39">
        <f t="shared" ca="1" si="1"/>
        <v>99004</v>
      </c>
      <c r="F16" s="40">
        <f t="shared" ca="1" si="1"/>
        <v>98774.771999999997</v>
      </c>
      <c r="G16" s="40">
        <f t="shared" ca="1" si="1"/>
        <v>98428.603000000003</v>
      </c>
      <c r="H16" s="40">
        <f t="shared" ca="1" si="1"/>
        <v>181.65799999999999</v>
      </c>
      <c r="I16" s="41" t="str">
        <f t="shared" ca="1" si="1"/>
        <v>5/8" IR w/ Orange FHWA plastic cap</v>
      </c>
      <c r="J16" s="31"/>
      <c r="K16" s="39">
        <f t="shared" ca="1" si="2"/>
        <v>99039</v>
      </c>
      <c r="L16" s="40">
        <f t="shared" ca="1" si="2"/>
        <v>114394.95699999999</v>
      </c>
      <c r="M16" s="40">
        <f t="shared" ca="1" si="2"/>
        <v>105992.16</v>
      </c>
      <c r="N16" s="40">
        <f t="shared" ca="1" si="2"/>
        <v>639.76900000000001</v>
      </c>
      <c r="O16" s="41" t="str">
        <f t="shared" ca="1" si="2"/>
        <v>1/2" IR w/ yellow FHWA plastic cap</v>
      </c>
      <c r="Q16" s="31"/>
    </row>
    <row r="17" spans="3:17" ht="15" customHeight="1" thickBot="1" x14ac:dyDescent="0.25">
      <c r="C17" s="109"/>
      <c r="D17" s="60"/>
      <c r="E17" s="39">
        <f t="shared" ca="1" si="1"/>
        <v>99005</v>
      </c>
      <c r="F17" s="40">
        <f t="shared" ca="1" si="1"/>
        <v>99249.934999999998</v>
      </c>
      <c r="G17" s="40">
        <f t="shared" ca="1" si="1"/>
        <v>98411.837</v>
      </c>
      <c r="H17" s="40">
        <f t="shared" ca="1" si="1"/>
        <v>194.35400000000001</v>
      </c>
      <c r="I17" s="41" t="str">
        <f t="shared" ca="1" si="1"/>
        <v>1/2" IR w/ yellow FHWA plastic cap</v>
      </c>
      <c r="J17" s="31"/>
      <c r="K17" s="39">
        <f t="shared" ca="1" si="2"/>
        <v>99040</v>
      </c>
      <c r="L17" s="40">
        <f t="shared" ca="1" si="2"/>
        <v>114952.348</v>
      </c>
      <c r="M17" s="40">
        <f t="shared" ca="1" si="2"/>
        <v>106508.09</v>
      </c>
      <c r="N17" s="40">
        <f t="shared" ca="1" si="2"/>
        <v>610.09500000000003</v>
      </c>
      <c r="O17" s="41" t="str">
        <f t="shared" ca="1" si="2"/>
        <v>1/2" IR w/ yellow FHWA plastic cap</v>
      </c>
      <c r="P17" s="32"/>
      <c r="Q17" s="31"/>
    </row>
    <row r="18" spans="3:17" ht="15" customHeight="1" thickBot="1" x14ac:dyDescent="0.25">
      <c r="C18" s="109"/>
      <c r="D18" s="60"/>
      <c r="E18" s="39">
        <f t="shared" ca="1" si="1"/>
        <v>99006</v>
      </c>
      <c r="F18" s="40">
        <f t="shared" ca="1" si="1"/>
        <v>99611.899000000005</v>
      </c>
      <c r="G18" s="40">
        <f t="shared" ca="1" si="1"/>
        <v>98225.1</v>
      </c>
      <c r="H18" s="40">
        <f t="shared" ca="1" si="1"/>
        <v>220.94399999999999</v>
      </c>
      <c r="I18" s="41" t="str">
        <f t="shared" ca="1" si="1"/>
        <v>1/2" IR w/ yellow FHWA plastic cap</v>
      </c>
      <c r="J18" s="31"/>
      <c r="K18" s="39">
        <f t="shared" ca="1" si="2"/>
        <v>99041</v>
      </c>
      <c r="L18" s="40">
        <f t="shared" ca="1" si="2"/>
        <v>115855.35</v>
      </c>
      <c r="M18" s="40">
        <f t="shared" ca="1" si="2"/>
        <v>106866.242</v>
      </c>
      <c r="N18" s="40">
        <f t="shared" ca="1" si="2"/>
        <v>632.96900000000005</v>
      </c>
      <c r="O18" s="41" t="str">
        <f t="shared" ca="1" si="2"/>
        <v>1/2" IR w/ yellow FHWA plastic cap</v>
      </c>
      <c r="P18" s="32"/>
      <c r="Q18" s="31"/>
    </row>
    <row r="19" spans="3:17" ht="15" customHeight="1" thickBot="1" x14ac:dyDescent="0.25">
      <c r="C19" s="109"/>
      <c r="D19" s="60"/>
      <c r="E19" s="39">
        <f t="shared" ca="1" si="1"/>
        <v>99007</v>
      </c>
      <c r="F19" s="40">
        <f t="shared" ca="1" si="1"/>
        <v>99982.903000000006</v>
      </c>
      <c r="G19" s="40">
        <f t="shared" ca="1" si="1"/>
        <v>98335.391000000003</v>
      </c>
      <c r="H19" s="40">
        <f t="shared" ca="1" si="1"/>
        <v>237.65700000000001</v>
      </c>
      <c r="I19" s="41" t="str">
        <f t="shared" ca="1" si="1"/>
        <v>1/2" IR w/ yellow FHWA plastic cap</v>
      </c>
      <c r="J19" s="31"/>
      <c r="K19" s="39">
        <f t="shared" ca="1" si="2"/>
        <v>99042</v>
      </c>
      <c r="L19" s="40">
        <f t="shared" ca="1" si="2"/>
        <v>116188.697</v>
      </c>
      <c r="M19" s="40">
        <f t="shared" ca="1" si="2"/>
        <v>107118.61900000001</v>
      </c>
      <c r="N19" s="40">
        <f t="shared" ca="1" si="2"/>
        <v>639.70500000000004</v>
      </c>
      <c r="O19" s="41" t="str">
        <f t="shared" ca="1" si="2"/>
        <v>1/2" IR w/ yellow FHWA plastic cap</v>
      </c>
      <c r="P19" s="32"/>
      <c r="Q19" s="31"/>
    </row>
    <row r="20" spans="3:17" ht="15" customHeight="1" thickBot="1" x14ac:dyDescent="0.25">
      <c r="C20" s="109"/>
      <c r="D20" s="60"/>
      <c r="E20" s="39">
        <f t="shared" ca="1" si="1"/>
        <v>99008</v>
      </c>
      <c r="F20" s="40">
        <f t="shared" ca="1" si="1"/>
        <v>100466.143</v>
      </c>
      <c r="G20" s="40">
        <f t="shared" ca="1" si="1"/>
        <v>98281.54</v>
      </c>
      <c r="H20" s="40">
        <f t="shared" ca="1" si="1"/>
        <v>257.05799999999999</v>
      </c>
      <c r="I20" s="41" t="str">
        <f t="shared" ca="1" si="1"/>
        <v>1/2" IR w/ yellow FHWA plastic cap</v>
      </c>
      <c r="J20" s="31"/>
      <c r="K20" s="39">
        <f t="shared" ca="1" si="2"/>
        <v>99043</v>
      </c>
      <c r="L20" s="40">
        <f t="shared" ca="1" si="2"/>
        <v>116683.18700000001</v>
      </c>
      <c r="M20" s="40">
        <f t="shared" ca="1" si="2"/>
        <v>108007.917</v>
      </c>
      <c r="N20" s="40">
        <f t="shared" ca="1" si="2"/>
        <v>627.79499999999996</v>
      </c>
      <c r="O20" s="41" t="str">
        <f t="shared" ca="1" si="2"/>
        <v>1/2" IR w/ yellow FHWA plastic cap</v>
      </c>
      <c r="P20" s="32"/>
      <c r="Q20" s="31"/>
    </row>
    <row r="21" spans="3:17" ht="15" customHeight="1" thickBot="1" x14ac:dyDescent="0.25">
      <c r="C21" s="109"/>
      <c r="D21" s="60"/>
      <c r="E21" s="39">
        <f t="shared" ca="1" si="1"/>
        <v>99009</v>
      </c>
      <c r="F21" s="40">
        <f t="shared" ca="1" si="1"/>
        <v>101052.931</v>
      </c>
      <c r="G21" s="40">
        <f t="shared" ca="1" si="1"/>
        <v>98139.881999999998</v>
      </c>
      <c r="H21" s="40">
        <f t="shared" ca="1" si="1"/>
        <v>259.18900000000002</v>
      </c>
      <c r="I21" s="41" t="str">
        <f t="shared" ca="1" si="1"/>
        <v>1/2" IR w/ yellow FHWA plastic cap</v>
      </c>
      <c r="J21" s="31"/>
      <c r="K21" s="39">
        <f t="shared" ca="1" si="2"/>
        <v>99044</v>
      </c>
      <c r="L21" s="40">
        <f t="shared" ca="1" si="2"/>
        <v>117800.96400000001</v>
      </c>
      <c r="M21" s="40">
        <f t="shared" ca="1" si="2"/>
        <v>108555.569</v>
      </c>
      <c r="N21" s="40">
        <f t="shared" ca="1" si="2"/>
        <v>614.72500000000002</v>
      </c>
      <c r="O21" s="41" t="str">
        <f t="shared" ca="1" si="2"/>
        <v>1/2" IR w/ yellow FHWA plastic cap</v>
      </c>
      <c r="P21" s="32"/>
      <c r="Q21" s="31"/>
    </row>
    <row r="22" spans="3:17" ht="15" customHeight="1" thickBot="1" x14ac:dyDescent="0.25">
      <c r="C22" s="109"/>
      <c r="D22" s="60"/>
      <c r="E22" s="39">
        <f t="shared" ca="1" si="1"/>
        <v>99010</v>
      </c>
      <c r="F22" s="40">
        <f t="shared" ca="1" si="1"/>
        <v>101683.685</v>
      </c>
      <c r="G22" s="40">
        <f t="shared" ca="1" si="1"/>
        <v>98042.514999999999</v>
      </c>
      <c r="H22" s="40">
        <f t="shared" ca="1" si="1"/>
        <v>259.10899999999998</v>
      </c>
      <c r="I22" s="41" t="str">
        <f t="shared" ca="1" si="1"/>
        <v>1/2" IR w/ yellow FHWA plastic cap</v>
      </c>
      <c r="J22" s="31"/>
      <c r="K22" s="39">
        <f t="shared" ca="1" si="2"/>
        <v>99045</v>
      </c>
      <c r="L22" s="40">
        <f t="shared" ca="1" si="2"/>
        <v>118623.02499999999</v>
      </c>
      <c r="M22" s="40">
        <f t="shared" ca="1" si="2"/>
        <v>108873.34699999999</v>
      </c>
      <c r="N22" s="40">
        <f t="shared" ca="1" si="2"/>
        <v>586.399</v>
      </c>
      <c r="O22" s="41" t="str">
        <f t="shared" ca="1" si="2"/>
        <v>1/2" IR w/ yellow FHWA plastic cap</v>
      </c>
      <c r="P22" s="32"/>
      <c r="Q22" s="31"/>
    </row>
    <row r="23" spans="3:17" ht="15" customHeight="1" thickBot="1" x14ac:dyDescent="0.25">
      <c r="C23" s="109"/>
      <c r="D23" s="60"/>
      <c r="E23" s="39">
        <f t="shared" ref="E23:I32" ca="1" si="3">IF(Header1&lt;&gt;FALSE(),IF(ROW()-ROW(Header1)&lt;=Table.rows,INDIRECT("'"&amp;Location&amp;"'!"&amp;E$6&amp;Header1+ROW()-ROW(Header1)),""),"")</f>
        <v>99011</v>
      </c>
      <c r="F23" s="40">
        <f t="shared" ca="1" si="3"/>
        <v>102378.314</v>
      </c>
      <c r="G23" s="40">
        <f t="shared" ca="1" si="3"/>
        <v>98119.316999999995</v>
      </c>
      <c r="H23" s="40">
        <f t="shared" ca="1" si="3"/>
        <v>262.72300000000001</v>
      </c>
      <c r="I23" s="41" t="str">
        <f t="shared" ca="1" si="3"/>
        <v>1/2" IR w/ yellow FHWA plastic cap</v>
      </c>
      <c r="J23" s="31"/>
      <c r="K23" s="39">
        <f t="shared" ref="K23:O32" ca="1" si="4">IF(Header2&lt;&gt;FALSE(),IF(ROW()-ROW(Header2)&lt;=Table.rows,INDIRECT("'"&amp;Location&amp;"'!"&amp;K$6&amp;Header2+ROW()-ROW(Header2)),""),"")</f>
        <v>99046</v>
      </c>
      <c r="L23" s="40">
        <f t="shared" ca="1" si="4"/>
        <v>118878.584</v>
      </c>
      <c r="M23" s="40">
        <f t="shared" ca="1" si="4"/>
        <v>108728.67200000001</v>
      </c>
      <c r="N23" s="40">
        <f t="shared" ca="1" si="4"/>
        <v>584.86500000000001</v>
      </c>
      <c r="O23" s="41" t="str">
        <f t="shared" ca="1" si="4"/>
        <v>1/2" IR w/ yellow FHWA plastic cap</v>
      </c>
      <c r="P23" s="32"/>
      <c r="Q23" s="31"/>
    </row>
    <row r="24" spans="3:17" ht="15" customHeight="1" thickBot="1" x14ac:dyDescent="0.25">
      <c r="C24" s="109"/>
      <c r="D24" s="60"/>
      <c r="E24" s="39">
        <f t="shared" ca="1" si="3"/>
        <v>99012</v>
      </c>
      <c r="F24" s="40">
        <f t="shared" ca="1" si="3"/>
        <v>102846.567</v>
      </c>
      <c r="G24" s="40">
        <f t="shared" ca="1" si="3"/>
        <v>98060.150999999998</v>
      </c>
      <c r="H24" s="40">
        <f t="shared" ca="1" si="3"/>
        <v>263.36599999999999</v>
      </c>
      <c r="I24" s="41" t="str">
        <f t="shared" ca="1" si="3"/>
        <v>1/2" IR w/ yellow FHWA plastic cap</v>
      </c>
      <c r="J24" s="31"/>
      <c r="K24" s="39">
        <f t="shared" ca="1" si="4"/>
        <v>99047</v>
      </c>
      <c r="L24" s="40">
        <f t="shared" ca="1" si="4"/>
        <v>119082.338</v>
      </c>
      <c r="M24" s="40">
        <f t="shared" ca="1" si="4"/>
        <v>107567.895</v>
      </c>
      <c r="N24" s="40">
        <f t="shared" ca="1" si="4"/>
        <v>577.625</v>
      </c>
      <c r="O24" s="41" t="str">
        <f t="shared" ca="1" si="4"/>
        <v>1/2" IR w/ yellow FHWA plastic cap</v>
      </c>
      <c r="P24" s="32"/>
      <c r="Q24" s="31"/>
    </row>
    <row r="25" spans="3:17" ht="15" customHeight="1" thickBot="1" x14ac:dyDescent="0.25">
      <c r="C25" s="109"/>
      <c r="D25" s="60"/>
      <c r="E25" s="39">
        <f t="shared" ca="1" si="3"/>
        <v>99013</v>
      </c>
      <c r="F25" s="40">
        <f t="shared" ca="1" si="3"/>
        <v>103422.932</v>
      </c>
      <c r="G25" s="40">
        <f t="shared" ca="1" si="3"/>
        <v>98059.032000000007</v>
      </c>
      <c r="H25" s="40">
        <f t="shared" ca="1" si="3"/>
        <v>266.56</v>
      </c>
      <c r="I25" s="41" t="str">
        <f t="shared" ca="1" si="3"/>
        <v>1/2" IR w/ yellow FHWA plastic cap</v>
      </c>
      <c r="J25" s="31"/>
      <c r="K25" s="39">
        <f t="shared" ca="1" si="4"/>
        <v>99048</v>
      </c>
      <c r="L25" s="40">
        <f t="shared" ca="1" si="4"/>
        <v>119437.00599999999</v>
      </c>
      <c r="M25" s="40">
        <f t="shared" ca="1" si="4"/>
        <v>107332.554</v>
      </c>
      <c r="N25" s="40">
        <f t="shared" ca="1" si="4"/>
        <v>588.83600000000001</v>
      </c>
      <c r="O25" s="41" t="str">
        <f t="shared" ca="1" si="4"/>
        <v>1/2" IR w/ yellow FHWA plastic cap</v>
      </c>
      <c r="P25" s="32"/>
      <c r="Q25" s="31"/>
    </row>
    <row r="26" spans="3:17" ht="15" customHeight="1" thickBot="1" x14ac:dyDescent="0.25">
      <c r="C26" s="109"/>
      <c r="D26" s="60"/>
      <c r="E26" s="39">
        <f t="shared" ca="1" si="3"/>
        <v>99014</v>
      </c>
      <c r="F26" s="40">
        <f t="shared" ca="1" si="3"/>
        <v>104318.355</v>
      </c>
      <c r="G26" s="40">
        <f t="shared" ca="1" si="3"/>
        <v>98443.165999999997</v>
      </c>
      <c r="H26" s="40">
        <f t="shared" ca="1" si="3"/>
        <v>272.12</v>
      </c>
      <c r="I26" s="41" t="str">
        <f t="shared" ca="1" si="3"/>
        <v>1/2" IR w/ yellow FHWA plastic cap</v>
      </c>
      <c r="J26" s="31"/>
      <c r="K26" s="39">
        <f t="shared" ca="1" si="4"/>
        <v>99049</v>
      </c>
      <c r="L26" s="40">
        <f t="shared" ca="1" si="4"/>
        <v>119876.928</v>
      </c>
      <c r="M26" s="40">
        <f t="shared" ca="1" si="4"/>
        <v>107485.913</v>
      </c>
      <c r="N26" s="40">
        <f t="shared" ca="1" si="4"/>
        <v>591.16700000000003</v>
      </c>
      <c r="O26" s="41" t="str">
        <f t="shared" ca="1" si="4"/>
        <v>1/2" IR w/ yellow FHWA plastic cap</v>
      </c>
      <c r="P26" s="32"/>
      <c r="Q26" s="31"/>
    </row>
    <row r="27" spans="3:17" ht="15" customHeight="1" thickBot="1" x14ac:dyDescent="0.25">
      <c r="C27" s="109"/>
      <c r="D27" s="60"/>
      <c r="E27" s="39">
        <f t="shared" ca="1" si="3"/>
        <v>99015</v>
      </c>
      <c r="F27" s="40">
        <f t="shared" ca="1" si="3"/>
        <v>105678.13099999999</v>
      </c>
      <c r="G27" s="40">
        <f t="shared" ca="1" si="3"/>
        <v>98484.236000000004</v>
      </c>
      <c r="H27" s="40">
        <f t="shared" ca="1" si="3"/>
        <v>277.32400000000001</v>
      </c>
      <c r="I27" s="41" t="str">
        <f t="shared" ca="1" si="3"/>
        <v>1/2" IR w/ yellow FHWA plastic cap</v>
      </c>
      <c r="J27" s="31"/>
      <c r="K27" s="39">
        <f t="shared" ca="1" si="4"/>
        <v>99050</v>
      </c>
      <c r="L27" s="40">
        <f t="shared" ca="1" si="4"/>
        <v>120293.522</v>
      </c>
      <c r="M27" s="40">
        <f t="shared" ca="1" si="4"/>
        <v>108147.785</v>
      </c>
      <c r="N27" s="40">
        <f t="shared" ca="1" si="4"/>
        <v>580.02800000000002</v>
      </c>
      <c r="O27" s="41" t="str">
        <f t="shared" ca="1" si="4"/>
        <v>1/2" IR w/ yellow FHWA plastic cap</v>
      </c>
      <c r="P27" s="32"/>
      <c r="Q27" s="31"/>
    </row>
    <row r="28" spans="3:17" ht="15" customHeight="1" thickBot="1" x14ac:dyDescent="0.25">
      <c r="C28" s="109"/>
      <c r="D28" s="60"/>
      <c r="E28" s="39">
        <f t="shared" ca="1" si="3"/>
        <v>99016</v>
      </c>
      <c r="F28" s="40">
        <f t="shared" ca="1" si="3"/>
        <v>106901.09699999999</v>
      </c>
      <c r="G28" s="40">
        <f t="shared" ca="1" si="3"/>
        <v>98509.75</v>
      </c>
      <c r="H28" s="40">
        <f t="shared" ca="1" si="3"/>
        <v>280.61099999999999</v>
      </c>
      <c r="I28" s="41" t="str">
        <f t="shared" ca="1" si="3"/>
        <v>1/2" IR w/ yellow FHWA plastic cap</v>
      </c>
      <c r="J28" s="31"/>
      <c r="K28" s="39">
        <f t="shared" ca="1" si="4"/>
        <v>99051</v>
      </c>
      <c r="L28" s="40">
        <f t="shared" ca="1" si="4"/>
        <v>120923.59699999999</v>
      </c>
      <c r="M28" s="40">
        <f t="shared" ca="1" si="4"/>
        <v>108445.989</v>
      </c>
      <c r="N28" s="40">
        <f t="shared" ca="1" si="4"/>
        <v>583.971</v>
      </c>
      <c r="O28" s="41" t="str">
        <f t="shared" ca="1" si="4"/>
        <v>1/2" IR w/ yellow FHWA plastic cap</v>
      </c>
      <c r="P28" s="32"/>
      <c r="Q28" s="31"/>
    </row>
    <row r="29" spans="3:17" ht="15" customHeight="1" thickBot="1" x14ac:dyDescent="0.25">
      <c r="C29" s="109"/>
      <c r="D29" s="60"/>
      <c r="E29" s="39">
        <f t="shared" ca="1" si="3"/>
        <v>99017</v>
      </c>
      <c r="F29" s="40">
        <f t="shared" ca="1" si="3"/>
        <v>107472.586</v>
      </c>
      <c r="G29" s="40">
        <f t="shared" ca="1" si="3"/>
        <v>98585.808999999994</v>
      </c>
      <c r="H29" s="40">
        <f t="shared" ca="1" si="3"/>
        <v>282.66300000000001</v>
      </c>
      <c r="I29" s="41" t="str">
        <f t="shared" ca="1" si="3"/>
        <v>1/2" IR w/ yellow FHWA plastic cap</v>
      </c>
      <c r="J29" s="31"/>
      <c r="K29" s="39">
        <f t="shared" ca="1" si="4"/>
        <v>99052</v>
      </c>
      <c r="L29" s="40">
        <f t="shared" ca="1" si="4"/>
        <v>121678.484</v>
      </c>
      <c r="M29" s="40">
        <f t="shared" ca="1" si="4"/>
        <v>108693.46400000001</v>
      </c>
      <c r="N29" s="40">
        <f t="shared" ca="1" si="4"/>
        <v>590.70299999999997</v>
      </c>
      <c r="O29" s="41" t="str">
        <f t="shared" ca="1" si="4"/>
        <v>1/2" IR w/ yellow FHWA plastic cap</v>
      </c>
      <c r="P29" s="32"/>
      <c r="Q29" s="31"/>
    </row>
    <row r="30" spans="3:17" ht="15" customHeight="1" thickBot="1" x14ac:dyDescent="0.25">
      <c r="C30" s="109"/>
      <c r="D30" s="60"/>
      <c r="E30" s="39">
        <f t="shared" ca="1" si="3"/>
        <v>99018</v>
      </c>
      <c r="F30" s="40">
        <f t="shared" ca="1" si="3"/>
        <v>107835.318</v>
      </c>
      <c r="G30" s="40">
        <f t="shared" ca="1" si="3"/>
        <v>98887.205000000002</v>
      </c>
      <c r="H30" s="40">
        <f t="shared" ca="1" si="3"/>
        <v>277.92099999999999</v>
      </c>
      <c r="I30" s="41" t="str">
        <f t="shared" ca="1" si="3"/>
        <v>1/2" IR w/ yellow FHWA plastic cap</v>
      </c>
      <c r="J30" s="31"/>
      <c r="K30" s="39">
        <f t="shared" ca="1" si="4"/>
        <v>99053</v>
      </c>
      <c r="L30" s="40">
        <f t="shared" ca="1" si="4"/>
        <v>122549.45</v>
      </c>
      <c r="M30" s="40">
        <f t="shared" ca="1" si="4"/>
        <v>108861.148</v>
      </c>
      <c r="N30" s="40">
        <f t="shared" ca="1" si="4"/>
        <v>578.93100000000004</v>
      </c>
      <c r="O30" s="41" t="str">
        <f t="shared" ca="1" si="4"/>
        <v>1/2" IR w/ yellow FHWA plastic cap</v>
      </c>
      <c r="P30" s="32"/>
      <c r="Q30" s="31"/>
    </row>
    <row r="31" spans="3:17" ht="15" customHeight="1" thickBot="1" x14ac:dyDescent="0.25">
      <c r="C31" s="109"/>
      <c r="D31" s="60"/>
      <c r="E31" s="39">
        <f t="shared" ca="1" si="3"/>
        <v>99019</v>
      </c>
      <c r="F31" s="40">
        <f t="shared" ca="1" si="3"/>
        <v>107966.72100000001</v>
      </c>
      <c r="G31" s="40">
        <f t="shared" ca="1" si="3"/>
        <v>99464.52</v>
      </c>
      <c r="H31" s="40">
        <f t="shared" ca="1" si="3"/>
        <v>286.49400000000003</v>
      </c>
      <c r="I31" s="41" t="str">
        <f t="shared" ca="1" si="3"/>
        <v>1/2" IR w/ yellow FHWA plastic cap</v>
      </c>
      <c r="J31" s="31"/>
      <c r="K31" s="39">
        <f t="shared" ca="1" si="4"/>
        <v>99054</v>
      </c>
      <c r="L31" s="40">
        <f t="shared" ca="1" si="4"/>
        <v>123223.92</v>
      </c>
      <c r="M31" s="40">
        <f t="shared" ca="1" si="4"/>
        <v>108911.754</v>
      </c>
      <c r="N31" s="40">
        <f t="shared" ca="1" si="4"/>
        <v>557.81799999999998</v>
      </c>
      <c r="O31" s="41" t="str">
        <f t="shared" ca="1" si="4"/>
        <v>1/2" IR w/ yellow FHWA plastic cap</v>
      </c>
      <c r="P31" s="32"/>
      <c r="Q31" s="31"/>
    </row>
    <row r="32" spans="3:17" ht="15" customHeight="1" thickBot="1" x14ac:dyDescent="0.25">
      <c r="C32" s="109"/>
      <c r="D32" s="60"/>
      <c r="E32" s="39">
        <f t="shared" ca="1" si="3"/>
        <v>99020</v>
      </c>
      <c r="F32" s="40">
        <f t="shared" ca="1" si="3"/>
        <v>108059.516</v>
      </c>
      <c r="G32" s="40">
        <f t="shared" ca="1" si="3"/>
        <v>99776.422000000006</v>
      </c>
      <c r="H32" s="40">
        <f t="shared" ca="1" si="3"/>
        <v>312.69400000000002</v>
      </c>
      <c r="I32" s="41" t="str">
        <f t="shared" ca="1" si="3"/>
        <v>1/2" IR w/ yellow FHWA plastic cap</v>
      </c>
      <c r="J32" s="31"/>
      <c r="K32" s="39">
        <f t="shared" ca="1" si="4"/>
        <v>99055</v>
      </c>
      <c r="L32" s="40">
        <f t="shared" ca="1" si="4"/>
        <v>124045.185</v>
      </c>
      <c r="M32" s="40">
        <f t="shared" ca="1" si="4"/>
        <v>109061.522</v>
      </c>
      <c r="N32" s="40">
        <f t="shared" ca="1" si="4"/>
        <v>553.01700000000005</v>
      </c>
      <c r="O32" s="41" t="str">
        <f t="shared" ca="1" si="4"/>
        <v>5/8" IR w/ Orange FHWA plastic cap</v>
      </c>
      <c r="P32" s="32"/>
      <c r="Q32" s="31"/>
    </row>
    <row r="33" spans="3:18" ht="15" customHeight="1" thickBot="1" x14ac:dyDescent="0.25">
      <c r="C33" s="109"/>
      <c r="D33" s="60"/>
      <c r="E33" s="39">
        <f t="shared" ref="E33:I47" ca="1" si="5">IF(Header1&lt;&gt;FALSE(),IF(ROW()-ROW(Header1)&lt;=Table.rows,INDIRECT("'"&amp;Location&amp;"'!"&amp;E$6&amp;Header1+ROW()-ROW(Header1)),""),"")</f>
        <v>99021</v>
      </c>
      <c r="F33" s="40">
        <f t="shared" ca="1" si="5"/>
        <v>108242.96799999999</v>
      </c>
      <c r="G33" s="40">
        <f t="shared" ca="1" si="5"/>
        <v>100083.281</v>
      </c>
      <c r="H33" s="40">
        <f t="shared" ca="1" si="5"/>
        <v>312.95299999999997</v>
      </c>
      <c r="I33" s="41" t="str">
        <f t="shared" ca="1" si="5"/>
        <v>1/2" IR w/ yellow FHWA plastic cap</v>
      </c>
      <c r="J33" s="31"/>
      <c r="K33" s="39">
        <f t="shared" ref="K33:O47" ca="1" si="6">IF(Header2&lt;&gt;FALSE(),IF(ROW()-ROW(Header2)&lt;=Table.rows,INDIRECT("'"&amp;Location&amp;"'!"&amp;K$6&amp;Header2+ROW()-ROW(Header2)),""),"")</f>
        <v>99056</v>
      </c>
      <c r="L33" s="40">
        <f t="shared" ca="1" si="6"/>
        <v>124394.185</v>
      </c>
      <c r="M33" s="40">
        <f t="shared" ca="1" si="6"/>
        <v>109256.64599999999</v>
      </c>
      <c r="N33" s="40">
        <f t="shared" ca="1" si="6"/>
        <v>548.928</v>
      </c>
      <c r="O33" s="41" t="str">
        <f t="shared" ca="1" si="6"/>
        <v>1/2" IR w/ yellow FHWA plastic cap</v>
      </c>
      <c r="P33" s="32"/>
      <c r="Q33" s="31"/>
    </row>
    <row r="34" spans="3:18" ht="15" customHeight="1" thickBot="1" x14ac:dyDescent="0.25">
      <c r="C34" s="109"/>
      <c r="D34" s="60"/>
      <c r="E34" s="39">
        <f t="shared" ca="1" si="5"/>
        <v>99022</v>
      </c>
      <c r="F34" s="40">
        <f t="shared" ca="1" si="5"/>
        <v>108507.458</v>
      </c>
      <c r="G34" s="40">
        <f t="shared" ca="1" si="5"/>
        <v>100422.28200000001</v>
      </c>
      <c r="H34" s="40">
        <f t="shared" ca="1" si="5"/>
        <v>302.036</v>
      </c>
      <c r="I34" s="41" t="str">
        <f t="shared" ca="1" si="5"/>
        <v>1/2" IR w/ yellow FHWA plastic cap</v>
      </c>
      <c r="J34" s="31"/>
      <c r="K34" s="39">
        <f t="shared" ca="1" si="6"/>
        <v>99057</v>
      </c>
      <c r="L34" s="40">
        <f t="shared" ca="1" si="6"/>
        <v>124690.185</v>
      </c>
      <c r="M34" s="40">
        <f t="shared" ca="1" si="6"/>
        <v>109815.895</v>
      </c>
      <c r="N34" s="40">
        <f t="shared" ca="1" si="6"/>
        <v>539.96199999999999</v>
      </c>
      <c r="O34" s="41" t="str">
        <f t="shared" ca="1" si="6"/>
        <v>1/2" IR w/ yellow FHWA plastic cap</v>
      </c>
      <c r="P34" s="32"/>
      <c r="Q34" s="31"/>
    </row>
    <row r="35" spans="3:18" ht="15" customHeight="1" thickBot="1" x14ac:dyDescent="0.25">
      <c r="C35" s="109"/>
      <c r="D35" s="60"/>
      <c r="E35" s="39">
        <f t="shared" ca="1" si="5"/>
        <v>99023</v>
      </c>
      <c r="F35" s="40">
        <f t="shared" ca="1" si="5"/>
        <v>109030.29700000001</v>
      </c>
      <c r="G35" s="40">
        <f t="shared" ca="1" si="5"/>
        <v>100806.264</v>
      </c>
      <c r="H35" s="40">
        <f t="shared" ca="1" si="5"/>
        <v>305.34800000000001</v>
      </c>
      <c r="I35" s="41" t="str">
        <f t="shared" ca="1" si="5"/>
        <v>1/2" IR w/ yellow FHWA plastic cap</v>
      </c>
      <c r="J35" s="31"/>
      <c r="K35" s="39">
        <f t="shared" ca="1" si="6"/>
        <v>99058</v>
      </c>
      <c r="L35" s="40">
        <f t="shared" ca="1" si="6"/>
        <v>125084.355</v>
      </c>
      <c r="M35" s="40">
        <f t="shared" ca="1" si="6"/>
        <v>110138.935</v>
      </c>
      <c r="N35" s="40">
        <f t="shared" ca="1" si="6"/>
        <v>543.84100000000001</v>
      </c>
      <c r="O35" s="41" t="str">
        <f t="shared" ca="1" si="6"/>
        <v>1/2" IR w/ yellow FHWA plastic cap</v>
      </c>
      <c r="P35" s="32"/>
      <c r="Q35" s="31"/>
    </row>
    <row r="36" spans="3:18" ht="15" customHeight="1" thickBot="1" x14ac:dyDescent="0.25">
      <c r="C36" s="109"/>
      <c r="D36" s="60"/>
      <c r="E36" s="39">
        <f t="shared" ca="1" si="5"/>
        <v>99024</v>
      </c>
      <c r="F36" s="40">
        <f t="shared" ca="1" si="5"/>
        <v>109050.337</v>
      </c>
      <c r="G36" s="40">
        <f t="shared" ca="1" si="5"/>
        <v>101125.84699999999</v>
      </c>
      <c r="H36" s="40">
        <f t="shared" ca="1" si="5"/>
        <v>314.17200000000003</v>
      </c>
      <c r="I36" s="41" t="str">
        <f t="shared" ca="1" si="5"/>
        <v>1/2" IR w/ yellow FHWA plastic cap</v>
      </c>
      <c r="J36" s="31"/>
      <c r="K36" s="39">
        <f t="shared" ca="1" si="6"/>
        <v>99059</v>
      </c>
      <c r="L36" s="40">
        <f t="shared" ca="1" si="6"/>
        <v>125759.033</v>
      </c>
      <c r="M36" s="40">
        <f t="shared" ca="1" si="6"/>
        <v>110403.64599999999</v>
      </c>
      <c r="N36" s="40">
        <f t="shared" ca="1" si="6"/>
        <v>566.77200000000005</v>
      </c>
      <c r="O36" s="41" t="str">
        <f t="shared" ca="1" si="6"/>
        <v>1/2" IR w/ yellow FHWA plastic cap</v>
      </c>
      <c r="P36" s="32"/>
      <c r="Q36" s="31"/>
    </row>
    <row r="37" spans="3:18" ht="15" customHeight="1" thickBot="1" x14ac:dyDescent="0.25">
      <c r="C37" s="109"/>
      <c r="D37" s="60"/>
      <c r="E37" s="39">
        <f t="shared" ca="1" si="5"/>
        <v>99025</v>
      </c>
      <c r="F37" s="40">
        <f t="shared" ca="1" si="5"/>
        <v>108888.71400000001</v>
      </c>
      <c r="G37" s="40">
        <f t="shared" ca="1" si="5"/>
        <v>101625.944</v>
      </c>
      <c r="H37" s="40">
        <f t="shared" ca="1" si="5"/>
        <v>344.17899999999997</v>
      </c>
      <c r="I37" s="41" t="str">
        <f t="shared" ca="1" si="5"/>
        <v>1/2" IR w/ yellow FHWA plastic cap</v>
      </c>
      <c r="J37" s="31"/>
      <c r="K37" s="39">
        <f t="shared" ca="1" si="6"/>
        <v>99060</v>
      </c>
      <c r="L37" s="40">
        <f t="shared" ca="1" si="6"/>
        <v>125977.11900000001</v>
      </c>
      <c r="M37" s="40">
        <f t="shared" ca="1" si="6"/>
        <v>110801.819</v>
      </c>
      <c r="N37" s="40">
        <f t="shared" ca="1" si="6"/>
        <v>572.50400000000002</v>
      </c>
      <c r="O37" s="41" t="str">
        <f t="shared" ca="1" si="6"/>
        <v>1/2" IR w/ yellow FHWA plastic cap</v>
      </c>
      <c r="P37" s="32"/>
      <c r="Q37" s="31"/>
    </row>
    <row r="38" spans="3:18" ht="15" customHeight="1" thickBot="1" x14ac:dyDescent="0.25">
      <c r="C38" s="109"/>
      <c r="D38" s="60"/>
      <c r="E38" s="39">
        <f t="shared" ca="1" si="5"/>
        <v>99026</v>
      </c>
      <c r="F38" s="40">
        <f t="shared" ca="1" si="5"/>
        <v>108878.868</v>
      </c>
      <c r="G38" s="40">
        <f t="shared" ca="1" si="5"/>
        <v>101929.18700000001</v>
      </c>
      <c r="H38" s="40">
        <f t="shared" ca="1" si="5"/>
        <v>375.96899999999999</v>
      </c>
      <c r="I38" s="41" t="str">
        <f t="shared" ca="1" si="5"/>
        <v>1/2" IR w/ yellow FHWA plastic cap</v>
      </c>
      <c r="J38" s="31"/>
      <c r="K38" s="39">
        <f t="shared" ca="1" si="6"/>
        <v>99061</v>
      </c>
      <c r="L38" s="40">
        <f t="shared" ca="1" si="6"/>
        <v>126427.126</v>
      </c>
      <c r="M38" s="40">
        <f t="shared" ca="1" si="6"/>
        <v>111093.27</v>
      </c>
      <c r="N38" s="40">
        <f t="shared" ca="1" si="6"/>
        <v>581.80999999999995</v>
      </c>
      <c r="O38" s="41" t="str">
        <f t="shared" ca="1" si="6"/>
        <v>1/2" IR w/ yellow FHWA plastic cap</v>
      </c>
      <c r="P38" s="32"/>
      <c r="Q38" s="31"/>
    </row>
    <row r="39" spans="3:18" ht="15" customHeight="1" thickBot="1" x14ac:dyDescent="0.25">
      <c r="C39" s="109"/>
      <c r="D39" s="60"/>
      <c r="E39" s="39">
        <f t="shared" ca="1" si="5"/>
        <v>99027</v>
      </c>
      <c r="F39" s="40">
        <f t="shared" ca="1" si="5"/>
        <v>109471.643</v>
      </c>
      <c r="G39" s="40">
        <f t="shared" ca="1" si="5"/>
        <v>102161.49800000001</v>
      </c>
      <c r="H39" s="40">
        <f t="shared" ca="1" si="5"/>
        <v>436.048</v>
      </c>
      <c r="I39" s="41" t="str">
        <f t="shared" ca="1" si="5"/>
        <v>1/2" IR w/ yellow FHWA plastic cap</v>
      </c>
      <c r="J39" s="31"/>
      <c r="K39" s="39">
        <f t="shared" ca="1" si="6"/>
        <v>99062</v>
      </c>
      <c r="L39" s="40">
        <f t="shared" ca="1" si="6"/>
        <v>126764.205</v>
      </c>
      <c r="M39" s="40">
        <f t="shared" ca="1" si="6"/>
        <v>111335.401</v>
      </c>
      <c r="N39" s="40">
        <f t="shared" ca="1" si="6"/>
        <v>578.89</v>
      </c>
      <c r="O39" s="41" t="str">
        <f t="shared" ca="1" si="6"/>
        <v>1/2" IR w/ yellow FHWA plastic cap</v>
      </c>
      <c r="P39" s="32"/>
      <c r="Q39" s="31"/>
    </row>
    <row r="40" spans="3:18" ht="15" customHeight="1" thickBot="1" x14ac:dyDescent="0.25">
      <c r="C40" s="109"/>
      <c r="D40" s="60"/>
      <c r="E40" s="39">
        <f t="shared" ca="1" si="5"/>
        <v>99028</v>
      </c>
      <c r="F40" s="40">
        <f t="shared" ca="1" si="5"/>
        <v>109822.541</v>
      </c>
      <c r="G40" s="40">
        <f t="shared" ca="1" si="5"/>
        <v>102279.629</v>
      </c>
      <c r="H40" s="40">
        <f t="shared" ca="1" si="5"/>
        <v>470.48399999999998</v>
      </c>
      <c r="I40" s="41" t="str">
        <f t="shared" ca="1" si="5"/>
        <v>1/2" IR w/ yellow FHWA plastic cap</v>
      </c>
      <c r="J40" s="31"/>
      <c r="K40" s="39">
        <f t="shared" ca="1" si="6"/>
        <v>99063</v>
      </c>
      <c r="L40" s="40">
        <f t="shared" ca="1" si="6"/>
        <v>127603.963</v>
      </c>
      <c r="M40" s="40">
        <f t="shared" ca="1" si="6"/>
        <v>111386.80499999999</v>
      </c>
      <c r="N40" s="40">
        <f t="shared" ca="1" si="6"/>
        <v>576.279</v>
      </c>
      <c r="O40" s="41" t="str">
        <f t="shared" ca="1" si="6"/>
        <v>1/2" IR w/ yellow FHWA plastic cap</v>
      </c>
      <c r="P40" s="32"/>
      <c r="Q40" s="31"/>
    </row>
    <row r="41" spans="3:18" ht="15" customHeight="1" thickBot="1" x14ac:dyDescent="0.25">
      <c r="C41" s="109"/>
      <c r="D41" s="60"/>
      <c r="E41" s="39">
        <f t="shared" ca="1" si="5"/>
        <v>99029</v>
      </c>
      <c r="F41" s="40">
        <f t="shared" ca="1" si="5"/>
        <v>110053.827</v>
      </c>
      <c r="G41" s="40">
        <f t="shared" ca="1" si="5"/>
        <v>102632.89200000001</v>
      </c>
      <c r="H41" s="40">
        <f t="shared" ca="1" si="5"/>
        <v>505.89499999999998</v>
      </c>
      <c r="I41" s="41" t="str">
        <f t="shared" ca="1" si="5"/>
        <v>1/2" IR w/ yellow FHWA plastic cap</v>
      </c>
      <c r="J41" s="31"/>
      <c r="K41" s="39">
        <f t="shared" ca="1" si="6"/>
        <v>99064</v>
      </c>
      <c r="L41" s="40">
        <f t="shared" ca="1" si="6"/>
        <v>128336.14</v>
      </c>
      <c r="M41" s="40">
        <f t="shared" ca="1" si="6"/>
        <v>111100.749</v>
      </c>
      <c r="N41" s="40">
        <f t="shared" ca="1" si="6"/>
        <v>536.625</v>
      </c>
      <c r="O41" s="41" t="str">
        <f t="shared" ca="1" si="6"/>
        <v>1/2" IR w/ yellow FHWA plastic cap</v>
      </c>
      <c r="P41" s="32"/>
      <c r="Q41" s="31"/>
    </row>
    <row r="42" spans="3:18" ht="15" customHeight="1" thickBot="1" x14ac:dyDescent="0.25">
      <c r="C42" s="109"/>
      <c r="D42" s="60"/>
      <c r="E42" s="39">
        <f t="shared" ca="1" si="5"/>
        <v>99030</v>
      </c>
      <c r="F42" s="40">
        <f t="shared" ca="1" si="5"/>
        <v>110255.996</v>
      </c>
      <c r="G42" s="40">
        <f t="shared" ca="1" si="5"/>
        <v>102785.61500000001</v>
      </c>
      <c r="H42" s="40">
        <f t="shared" ca="1" si="5"/>
        <v>527.33100000000002</v>
      </c>
      <c r="I42" s="41" t="str">
        <f t="shared" ca="1" si="5"/>
        <v>1/2" IR w/ yellow FHWA plastic cap</v>
      </c>
      <c r="J42" s="31"/>
      <c r="K42" s="39">
        <f t="shared" ca="1" si="6"/>
        <v>99065</v>
      </c>
      <c r="L42" s="40">
        <f t="shared" ca="1" si="6"/>
        <v>128748.319</v>
      </c>
      <c r="M42" s="40">
        <f t="shared" ca="1" si="6"/>
        <v>110363.716</v>
      </c>
      <c r="N42" s="40">
        <f t="shared" ca="1" si="6"/>
        <v>513.98699999999997</v>
      </c>
      <c r="O42" s="41" t="str">
        <f t="shared" ca="1" si="6"/>
        <v>1/2" IR w/ yellow FHWA plastic cap</v>
      </c>
      <c r="P42" s="32"/>
      <c r="Q42" s="31"/>
    </row>
    <row r="43" spans="3:18" ht="15" customHeight="1" thickBot="1" x14ac:dyDescent="0.25">
      <c r="C43" s="109"/>
      <c r="D43" s="60"/>
      <c r="E43" s="39">
        <f t="shared" ca="1" si="5"/>
        <v>99031</v>
      </c>
      <c r="F43" s="40">
        <f t="shared" ca="1" si="5"/>
        <v>110687.421</v>
      </c>
      <c r="G43" s="40">
        <f t="shared" ca="1" si="5"/>
        <v>102875.916</v>
      </c>
      <c r="H43" s="40">
        <f t="shared" ca="1" si="5"/>
        <v>557.03499999999997</v>
      </c>
      <c r="I43" s="41" t="str">
        <f t="shared" ca="1" si="5"/>
        <v>5/8" IR w/ 2" Aluminum FHWA cap</v>
      </c>
      <c r="J43" s="31"/>
      <c r="K43" s="39">
        <f t="shared" ca="1" si="6"/>
        <v>99066</v>
      </c>
      <c r="L43" s="40">
        <f t="shared" ca="1" si="6"/>
        <v>128780.587</v>
      </c>
      <c r="M43" s="40">
        <f t="shared" ca="1" si="6"/>
        <v>109629.427</v>
      </c>
      <c r="N43" s="40">
        <f t="shared" ca="1" si="6"/>
        <v>494.642</v>
      </c>
      <c r="O43" s="41" t="str">
        <f t="shared" ca="1" si="6"/>
        <v>1/2" IR w/ yellow FHWA plastic cap</v>
      </c>
      <c r="P43" s="32"/>
      <c r="Q43" s="31"/>
    </row>
    <row r="44" spans="3:18" ht="15" customHeight="1" thickBot="1" x14ac:dyDescent="0.25">
      <c r="C44" s="109"/>
      <c r="D44" s="60"/>
      <c r="E44" s="39">
        <f t="shared" ca="1" si="5"/>
        <v>99032</v>
      </c>
      <c r="F44" s="40">
        <f t="shared" ca="1" si="5"/>
        <v>111179.66800000001</v>
      </c>
      <c r="G44" s="40">
        <f t="shared" ca="1" si="5"/>
        <v>103338.916</v>
      </c>
      <c r="H44" s="40">
        <f t="shared" ca="1" si="5"/>
        <v>575.94500000000005</v>
      </c>
      <c r="I44" s="41" t="str">
        <f t="shared" ca="1" si="5"/>
        <v>5/8" IR w/ 2" Aluminum FHWA cap</v>
      </c>
      <c r="J44" s="31"/>
      <c r="K44" s="39">
        <f t="shared" ca="1" si="6"/>
        <v>99067</v>
      </c>
      <c r="L44" s="40">
        <f t="shared" ca="1" si="6"/>
        <v>129388.929</v>
      </c>
      <c r="M44" s="40">
        <f t="shared" ca="1" si="6"/>
        <v>108961.747</v>
      </c>
      <c r="N44" s="40">
        <f t="shared" ca="1" si="6"/>
        <v>474.14699999999999</v>
      </c>
      <c r="O44" s="41" t="str">
        <f t="shared" ca="1" si="6"/>
        <v>1/2" IR w/ yellow FHWA plastic cap</v>
      </c>
      <c r="P44" s="32"/>
      <c r="Q44" s="31"/>
    </row>
    <row r="45" spans="3:18" ht="15.75" thickBot="1" x14ac:dyDescent="0.25">
      <c r="C45" s="109"/>
      <c r="D45" s="60"/>
      <c r="E45" s="39">
        <f t="shared" ca="1" si="5"/>
        <v>99033</v>
      </c>
      <c r="F45" s="40">
        <f t="shared" ca="1" si="5"/>
        <v>111579.98299999999</v>
      </c>
      <c r="G45" s="40">
        <f t="shared" ca="1" si="5"/>
        <v>103632.701</v>
      </c>
      <c r="H45" s="40">
        <f t="shared" ca="1" si="5"/>
        <v>582.44600000000003</v>
      </c>
      <c r="I45" s="41" t="str">
        <f t="shared" ca="1" si="5"/>
        <v>1/2" IR w/ yellow FHWA plastic cap</v>
      </c>
      <c r="J45" s="31"/>
      <c r="K45" s="39">
        <f t="shared" ca="1" si="6"/>
        <v>99068</v>
      </c>
      <c r="L45" s="40">
        <f t="shared" ca="1" si="6"/>
        <v>129635.30899999999</v>
      </c>
      <c r="M45" s="40">
        <f t="shared" ca="1" si="6"/>
        <v>108329.88</v>
      </c>
      <c r="N45" s="40">
        <f t="shared" ca="1" si="6"/>
        <v>432.03100000000001</v>
      </c>
      <c r="O45" s="41" t="str">
        <f t="shared" ca="1" si="6"/>
        <v>1/2" IR w/ yellow FHWA plastic cap</v>
      </c>
      <c r="P45" s="32"/>
      <c r="Q45" s="33"/>
      <c r="R45" s="26"/>
    </row>
    <row r="46" spans="3:18" ht="15.75" thickBot="1" x14ac:dyDescent="0.25">
      <c r="C46" s="61"/>
      <c r="D46" s="60"/>
      <c r="E46" s="39">
        <f t="shared" ca="1" si="5"/>
        <v>99034</v>
      </c>
      <c r="F46" s="40">
        <f t="shared" ca="1" si="5"/>
        <v>111805.769</v>
      </c>
      <c r="G46" s="40">
        <f t="shared" ca="1" si="5"/>
        <v>104025.879</v>
      </c>
      <c r="H46" s="40">
        <f t="shared" ca="1" si="5"/>
        <v>598.65099999999995</v>
      </c>
      <c r="I46" s="41" t="str">
        <f t="shared" ca="1" si="5"/>
        <v>1/2" IR w/ yellow FHWA plastic cap</v>
      </c>
      <c r="J46" s="31"/>
      <c r="K46" s="39">
        <f t="shared" ca="1" si="6"/>
        <v>99069</v>
      </c>
      <c r="L46" s="40">
        <f t="shared" ca="1" si="6"/>
        <v>130059.431</v>
      </c>
      <c r="M46" s="40">
        <f t="shared" ca="1" si="6"/>
        <v>108016.542</v>
      </c>
      <c r="N46" s="40">
        <f t="shared" ca="1" si="6"/>
        <v>441.80500000000001</v>
      </c>
      <c r="O46" s="41" t="str">
        <f t="shared" ca="1" si="6"/>
        <v>1/2" IR w/ yellow FHWA plastic cap</v>
      </c>
      <c r="P46" s="32"/>
      <c r="Q46" s="33"/>
      <c r="R46" s="26"/>
    </row>
    <row r="47" spans="3:18" ht="15.75" thickBot="1" x14ac:dyDescent="0.25">
      <c r="C47" s="61"/>
      <c r="D47" s="60"/>
      <c r="E47" s="39">
        <f t="shared" ca="1" si="5"/>
        <v>99035</v>
      </c>
      <c r="F47" s="40">
        <f t="shared" ca="1" si="5"/>
        <v>112427.02899999999</v>
      </c>
      <c r="G47" s="40">
        <f t="shared" ca="1" si="5"/>
        <v>104499.838</v>
      </c>
      <c r="H47" s="40">
        <f t="shared" ca="1" si="5"/>
        <v>610.98900000000003</v>
      </c>
      <c r="I47" s="41" t="str">
        <f t="shared" ca="1" si="5"/>
        <v>1/2" IR w/ yellow FHWA plastic cap</v>
      </c>
      <c r="J47" s="31"/>
      <c r="K47" s="39">
        <f t="shared" ca="1" si="6"/>
        <v>99070</v>
      </c>
      <c r="L47" s="40">
        <f t="shared" ca="1" si="6"/>
        <v>130393.099</v>
      </c>
      <c r="M47" s="40">
        <f t="shared" ca="1" si="6"/>
        <v>107855.443</v>
      </c>
      <c r="N47" s="40">
        <f t="shared" ca="1" si="6"/>
        <v>426.72500000000002</v>
      </c>
      <c r="O47" s="41" t="str">
        <f t="shared" ca="1" si="6"/>
        <v>5/8" IR w/ Orange FHWA plastic cap</v>
      </c>
      <c r="P47" s="32"/>
      <c r="Q47" s="33"/>
      <c r="R47" s="26"/>
    </row>
    <row r="48" spans="3:18" ht="15.75" thickBot="1" x14ac:dyDescent="0.25">
      <c r="C48" s="61"/>
      <c r="D48" s="60"/>
      <c r="E48" s="39" t="str">
        <f t="shared" ref="E48:I48" ca="1" si="7">IF(Header1&lt;&gt;FALSE(),IF(ROW(E48)-ROW(Header1)&lt;=Table.rows,INDIRECT("'"&amp;Location&amp;"'!"&amp;E$6&amp;Header1+ROW(E48)-ROW(Header1)),""),"")</f>
        <v/>
      </c>
      <c r="F48" s="40" t="str">
        <f t="shared" ca="1" si="7"/>
        <v/>
      </c>
      <c r="G48" s="40" t="str">
        <f t="shared" ca="1" si="7"/>
        <v/>
      </c>
      <c r="H48" s="40" t="str">
        <f t="shared" ca="1" si="7"/>
        <v/>
      </c>
      <c r="I48" s="41" t="str">
        <f t="shared" ca="1" si="7"/>
        <v/>
      </c>
      <c r="J48" s="31"/>
      <c r="K48" s="39" t="str">
        <f t="shared" ref="K48:O48" ca="1" si="8">IF(Header2&lt;&gt;FALSE(),IF(ROW(K48)-ROW(Header2)&lt;=Table.rows,INDIRECT("'"&amp;Location&amp;"'!"&amp;K$6&amp;Header2+ROW(K48)-ROW(Header2)),""),"")</f>
        <v/>
      </c>
      <c r="L48" s="40" t="str">
        <f t="shared" ca="1" si="8"/>
        <v/>
      </c>
      <c r="M48" s="40" t="str">
        <f t="shared" ca="1" si="8"/>
        <v/>
      </c>
      <c r="N48" s="40" t="str">
        <f t="shared" ca="1" si="8"/>
        <v/>
      </c>
      <c r="O48" s="41" t="str">
        <f t="shared" ca="1" si="8"/>
        <v/>
      </c>
      <c r="P48" s="32"/>
      <c r="Q48" s="33"/>
      <c r="R48" s="26"/>
    </row>
    <row r="49" spans="3:17" ht="13.5" x14ac:dyDescent="0.2">
      <c r="C49" s="109" t="str">
        <f ca="1">TEXT(NOW(),"d-mmm-yyyy h:mm AM/PM")</f>
        <v>12-Aug-2024 11:38 AM</v>
      </c>
      <c r="D49" s="70"/>
      <c r="E49" s="56"/>
      <c r="F49" s="57"/>
      <c r="G49" s="57"/>
      <c r="H49" s="57"/>
      <c r="I49" s="58"/>
      <c r="J49" s="58"/>
      <c r="K49" s="58"/>
      <c r="L49" s="58"/>
      <c r="M49" s="59"/>
      <c r="N49" s="62"/>
      <c r="O49" s="62"/>
      <c r="P49" s="62"/>
      <c r="Q49" s="63"/>
    </row>
    <row r="50" spans="3:17" ht="15" x14ac:dyDescent="0.2">
      <c r="C50" s="109"/>
      <c r="D50" s="65"/>
      <c r="E50" s="56"/>
      <c r="F50" s="57"/>
      <c r="G50" s="57"/>
      <c r="H50" s="57"/>
      <c r="I50" s="58"/>
      <c r="J50" s="58"/>
      <c r="K50" s="58"/>
      <c r="L50" s="58"/>
      <c r="M50" s="59"/>
      <c r="N50" s="62"/>
      <c r="O50" s="63"/>
      <c r="P50" s="63"/>
      <c r="Q50" s="63"/>
    </row>
    <row r="51" spans="3:17" ht="15" x14ac:dyDescent="0.2">
      <c r="C51" s="109"/>
      <c r="D51" s="60"/>
      <c r="N51" s="62"/>
      <c r="O51" s="63"/>
      <c r="P51" s="63"/>
      <c r="Q51" s="63"/>
    </row>
    <row r="52" spans="3:17" ht="15" x14ac:dyDescent="0.15">
      <c r="C52" s="109"/>
      <c r="D52" s="66"/>
      <c r="N52" s="32"/>
      <c r="O52" s="31"/>
      <c r="P52" s="31"/>
      <c r="Q52" s="31"/>
    </row>
    <row r="53" spans="3:17" ht="15" x14ac:dyDescent="0.2">
      <c r="C53" s="109"/>
      <c r="D53" s="67"/>
      <c r="E53" s="55"/>
      <c r="F53" s="55"/>
      <c r="G53" s="55"/>
      <c r="H53" s="55"/>
      <c r="I53" s="55"/>
      <c r="J53" s="58"/>
      <c r="K53" s="58"/>
      <c r="L53" s="58"/>
      <c r="M53" s="59"/>
      <c r="N53" s="32"/>
      <c r="O53" s="31"/>
      <c r="P53" s="31"/>
      <c r="Q53" s="31"/>
    </row>
    <row r="54" spans="3:17" ht="11.25" x14ac:dyDescent="0.15">
      <c r="C54" s="109"/>
      <c r="D54" s="68"/>
      <c r="E54" s="32"/>
      <c r="F54" s="32"/>
      <c r="G54" s="32"/>
      <c r="H54" s="32"/>
      <c r="I54" s="32"/>
      <c r="J54" s="32"/>
      <c r="K54" s="32"/>
      <c r="L54" s="32"/>
      <c r="M54" s="32"/>
      <c r="N54" s="31"/>
      <c r="O54" s="31"/>
      <c r="P54" s="31"/>
      <c r="Q54" s="31"/>
    </row>
    <row r="55" spans="3:17" s="42" customFormat="1" ht="8.25" x14ac:dyDescent="0.15">
      <c r="D55" s="53"/>
      <c r="E55" s="53"/>
      <c r="F55" s="53"/>
      <c r="G55" s="53"/>
      <c r="H55" s="53"/>
      <c r="I55" s="53"/>
      <c r="J55" s="53"/>
      <c r="K55" s="53"/>
      <c r="L55" s="53"/>
      <c r="M55" s="53"/>
      <c r="N55" s="54"/>
      <c r="O55" s="54"/>
      <c r="P55" s="54"/>
      <c r="Q55" s="54"/>
    </row>
  </sheetData>
  <sheetProtection sheet="1" objects="1" scenarios="1" formatCells="0"/>
  <mergeCells count="8">
    <mergeCell ref="C49:C54"/>
    <mergeCell ref="C8:C45"/>
    <mergeCell ref="F11:H11"/>
    <mergeCell ref="S12:T12"/>
    <mergeCell ref="A12:B12"/>
    <mergeCell ref="J9:O9"/>
    <mergeCell ref="E9:I9"/>
    <mergeCell ref="L11:N11"/>
  </mergeCells>
  <conditionalFormatting sqref="A1:XFD1048576">
    <cfRule type="expression" dxfId="5" priority="7">
      <formula>OR(OR(ROW()&lt;_xlfn.SINGLE(ROW(_xlnm.Print_Area)),ROW()&gt;=_xlfn.SINGLE(ROW(_xlnm.Print_Area))+ROWS(_xlnm.Print_Area)),OR(COLUMN()&lt;_xlfn.SINGLE(COLUMN(_xlnm.Print_Area)),COLUMN()&gt;=_xlfn.SINGLE(COLUMN(_xlnm.Print_Area))+COLUMNS(_xlnm.Print_Area)))</formula>
    </cfRule>
  </conditionalFormatting>
  <conditionalFormatting sqref="E13:I48">
    <cfRule type="expression" dxfId="4" priority="1" stopIfTrue="1">
      <formula>OR(ROW(E13)-ROW(Header1)&gt;Table.rows,Header1-Start.Row+ROW(E13)-ROW(Header1)&gt;Data.rows)</formula>
    </cfRule>
    <cfRule type="expression" dxfId="3" priority="2" stopIfTrue="1">
      <formula>AND(ROW(E13)-ROW(Header1)&lt;Table.rows,Header1-Start.Row+ROW(E13)-ROW(Header1)&lt;Data.rows)</formula>
    </cfRule>
  </conditionalFormatting>
  <conditionalFormatting sqref="K11:O48">
    <cfRule type="expression" dxfId="2" priority="3" stopIfTrue="1">
      <formula>NOT(Header2)</formula>
    </cfRule>
  </conditionalFormatting>
  <conditionalFormatting sqref="K13:O48">
    <cfRule type="expression" dxfId="1" priority="4" stopIfTrue="1">
      <formula>OR(ROW(K13)-ROW(Header2)&gt;Table.rows,Header2-Start.Row+ROW(K13)-ROW(Header2)&gt;Data.rows)</formula>
    </cfRule>
    <cfRule type="expression" dxfId="0" priority="5" stopIfTrue="1">
      <formula>AND(ROW(E13)-ROW(Header2)&lt;Table.rows,Header2-Start.Row+ROW(E13)-ROW(Header2)&lt;Data.rows)</formula>
    </cfRule>
  </conditionalFormatting>
  <printOptions horizontalCentered="1" verticalCentered="1"/>
  <pageMargins left="0" right="0" top="0" bottom="0" header="0" footer="0"/>
  <pageSetup paperSize="1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5A60-B2A4-497B-B964-0B8601C9F077}">
  <sheetPr>
    <pageSetUpPr fitToPage="1"/>
  </sheetPr>
  <dimension ref="A1:H103"/>
  <sheetViews>
    <sheetView showGridLines="0" topLeftCell="A79" workbookViewId="0">
      <selection activeCell="E1" sqref="E1:H1"/>
    </sheetView>
  </sheetViews>
  <sheetFormatPr defaultColWidth="10.28515625" defaultRowHeight="15.75" x14ac:dyDescent="0.25"/>
  <cols>
    <col min="1" max="1" width="9.85546875" style="71" customWidth="1"/>
    <col min="2" max="3" width="14.42578125" style="71" customWidth="1"/>
    <col min="4" max="4" width="11" style="71" customWidth="1"/>
    <col min="5" max="5" width="44.28515625" style="71" customWidth="1"/>
    <col min="6" max="16384" width="10.28515625" style="71"/>
  </cols>
  <sheetData>
    <row r="1" spans="1:8" ht="140.1" customHeight="1" x14ac:dyDescent="0.25">
      <c r="A1" s="119" t="s">
        <v>43</v>
      </c>
      <c r="B1" s="119"/>
      <c r="C1" s="119"/>
      <c r="D1" s="119"/>
      <c r="E1" s="119"/>
      <c r="F1" s="119"/>
      <c r="G1" s="119"/>
      <c r="H1" s="119"/>
    </row>
    <row r="2" spans="1:8" ht="14.1" customHeight="1" x14ac:dyDescent="0.25">
      <c r="A2" s="72"/>
      <c r="B2" s="120" t="s">
        <v>44</v>
      </c>
      <c r="C2" s="121"/>
      <c r="D2" s="122"/>
    </row>
    <row r="3" spans="1:8" ht="27.95" customHeight="1" thickBot="1" x14ac:dyDescent="0.3">
      <c r="A3" s="73" t="s">
        <v>9</v>
      </c>
      <c r="B3" s="74" t="s">
        <v>10</v>
      </c>
      <c r="C3" s="75" t="s">
        <v>11</v>
      </c>
      <c r="D3" s="76" t="s">
        <v>12</v>
      </c>
      <c r="E3" s="77" t="s">
        <v>13</v>
      </c>
    </row>
    <row r="4" spans="1:8" ht="14.1" customHeight="1" thickTop="1" x14ac:dyDescent="0.25">
      <c r="A4" s="78">
        <v>99001</v>
      </c>
      <c r="B4" s="79">
        <v>97362.494999999995</v>
      </c>
      <c r="C4" s="79">
        <v>98691.236999999994</v>
      </c>
      <c r="D4" s="80">
        <v>171.83600000000001</v>
      </c>
      <c r="E4" s="81" t="s">
        <v>45</v>
      </c>
    </row>
    <row r="5" spans="1:8" ht="14.1" customHeight="1" x14ac:dyDescent="0.25">
      <c r="A5" s="82">
        <v>99002</v>
      </c>
      <c r="B5" s="83">
        <v>97940.959000000003</v>
      </c>
      <c r="C5" s="83">
        <v>98501.731</v>
      </c>
      <c r="D5" s="80">
        <v>173.696</v>
      </c>
      <c r="E5" s="84" t="s">
        <v>45</v>
      </c>
    </row>
    <row r="6" spans="1:8" ht="14.1" customHeight="1" x14ac:dyDescent="0.25">
      <c r="A6" s="82">
        <v>99003</v>
      </c>
      <c r="B6" s="83">
        <v>98425</v>
      </c>
      <c r="C6" s="83">
        <v>98425</v>
      </c>
      <c r="D6" s="80">
        <v>175.43299999999999</v>
      </c>
      <c r="E6" s="84" t="s">
        <v>46</v>
      </c>
    </row>
    <row r="7" spans="1:8" ht="14.1" customHeight="1" x14ac:dyDescent="0.25">
      <c r="A7" s="82">
        <v>99004</v>
      </c>
      <c r="B7" s="83">
        <v>98774.771999999997</v>
      </c>
      <c r="C7" s="83">
        <v>98428.603000000003</v>
      </c>
      <c r="D7" s="80">
        <v>181.65799999999999</v>
      </c>
      <c r="E7" s="84" t="s">
        <v>47</v>
      </c>
    </row>
    <row r="8" spans="1:8" ht="14.1" customHeight="1" x14ac:dyDescent="0.25">
      <c r="A8" s="82">
        <v>99005</v>
      </c>
      <c r="B8" s="83">
        <v>99249.934999999998</v>
      </c>
      <c r="C8" s="83">
        <v>98411.837</v>
      </c>
      <c r="D8" s="80">
        <v>194.35400000000001</v>
      </c>
      <c r="E8" s="84" t="s">
        <v>45</v>
      </c>
    </row>
    <row r="9" spans="1:8" ht="14.1" customHeight="1" x14ac:dyDescent="0.25">
      <c r="A9" s="82">
        <v>99006</v>
      </c>
      <c r="B9" s="83">
        <v>99611.899000000005</v>
      </c>
      <c r="C9" s="83">
        <v>98225.1</v>
      </c>
      <c r="D9" s="80">
        <v>220.94399999999999</v>
      </c>
      <c r="E9" s="84" t="s">
        <v>45</v>
      </c>
    </row>
    <row r="10" spans="1:8" ht="14.1" customHeight="1" x14ac:dyDescent="0.25">
      <c r="A10" s="82">
        <v>99007</v>
      </c>
      <c r="B10" s="83">
        <v>99982.903000000006</v>
      </c>
      <c r="C10" s="83">
        <v>98335.391000000003</v>
      </c>
      <c r="D10" s="80">
        <v>237.65700000000001</v>
      </c>
      <c r="E10" s="84" t="s">
        <v>45</v>
      </c>
    </row>
    <row r="11" spans="1:8" ht="14.1" customHeight="1" x14ac:dyDescent="0.25">
      <c r="A11" s="82">
        <v>99008</v>
      </c>
      <c r="B11" s="83">
        <v>100466.143</v>
      </c>
      <c r="C11" s="83">
        <v>98281.54</v>
      </c>
      <c r="D11" s="80">
        <v>257.05799999999999</v>
      </c>
      <c r="E11" s="84" t="s">
        <v>45</v>
      </c>
    </row>
    <row r="12" spans="1:8" ht="14.1" customHeight="1" x14ac:dyDescent="0.25">
      <c r="A12" s="82">
        <v>99009</v>
      </c>
      <c r="B12" s="83">
        <v>101052.931</v>
      </c>
      <c r="C12" s="83">
        <v>98139.881999999998</v>
      </c>
      <c r="D12" s="80">
        <v>259.18900000000002</v>
      </c>
      <c r="E12" s="84" t="s">
        <v>45</v>
      </c>
    </row>
    <row r="13" spans="1:8" ht="14.1" customHeight="1" x14ac:dyDescent="0.25">
      <c r="A13" s="82">
        <v>99010</v>
      </c>
      <c r="B13" s="83">
        <v>101683.685</v>
      </c>
      <c r="C13" s="83">
        <v>98042.514999999999</v>
      </c>
      <c r="D13" s="80">
        <v>259.10899999999998</v>
      </c>
      <c r="E13" s="84" t="s">
        <v>45</v>
      </c>
    </row>
    <row r="14" spans="1:8" ht="14.1" customHeight="1" x14ac:dyDescent="0.25">
      <c r="A14" s="82">
        <v>99011</v>
      </c>
      <c r="B14" s="83">
        <v>102378.314</v>
      </c>
      <c r="C14" s="83">
        <v>98119.316999999995</v>
      </c>
      <c r="D14" s="80">
        <v>262.72300000000001</v>
      </c>
      <c r="E14" s="84" t="s">
        <v>45</v>
      </c>
    </row>
    <row r="15" spans="1:8" ht="14.1" customHeight="1" x14ac:dyDescent="0.25">
      <c r="A15" s="82">
        <v>99012</v>
      </c>
      <c r="B15" s="83">
        <v>102846.567</v>
      </c>
      <c r="C15" s="83">
        <v>98060.150999999998</v>
      </c>
      <c r="D15" s="80">
        <v>263.36599999999999</v>
      </c>
      <c r="E15" s="84" t="s">
        <v>45</v>
      </c>
    </row>
    <row r="16" spans="1:8" ht="14.1" customHeight="1" x14ac:dyDescent="0.25">
      <c r="A16" s="82">
        <v>99013</v>
      </c>
      <c r="B16" s="83">
        <v>103422.932</v>
      </c>
      <c r="C16" s="83">
        <v>98059.032000000007</v>
      </c>
      <c r="D16" s="80">
        <v>266.56</v>
      </c>
      <c r="E16" s="84" t="s">
        <v>45</v>
      </c>
    </row>
    <row r="17" spans="1:5" ht="14.1" customHeight="1" x14ac:dyDescent="0.25">
      <c r="A17" s="82">
        <v>99014</v>
      </c>
      <c r="B17" s="85">
        <v>104318.355</v>
      </c>
      <c r="C17" s="85">
        <v>98443.165999999997</v>
      </c>
      <c r="D17" s="80">
        <v>272.12</v>
      </c>
      <c r="E17" s="84" t="s">
        <v>45</v>
      </c>
    </row>
    <row r="18" spans="1:5" ht="14.1" customHeight="1" x14ac:dyDescent="0.25">
      <c r="A18" s="86">
        <v>99015</v>
      </c>
      <c r="B18" s="87">
        <v>105678.13099999999</v>
      </c>
      <c r="C18" s="87">
        <v>98484.236000000004</v>
      </c>
      <c r="D18" s="80">
        <v>277.32400000000001</v>
      </c>
      <c r="E18" s="88" t="s">
        <v>45</v>
      </c>
    </row>
    <row r="19" spans="1:5" ht="14.1" customHeight="1" x14ac:dyDescent="0.25">
      <c r="A19" s="82">
        <v>99016</v>
      </c>
      <c r="B19" s="85">
        <v>106901.09699999999</v>
      </c>
      <c r="C19" s="85">
        <v>98509.75</v>
      </c>
      <c r="D19" s="80">
        <v>280.61099999999999</v>
      </c>
      <c r="E19" s="84" t="s">
        <v>45</v>
      </c>
    </row>
    <row r="20" spans="1:5" ht="14.1" customHeight="1" x14ac:dyDescent="0.25">
      <c r="A20" s="89">
        <v>99017</v>
      </c>
      <c r="B20" s="85">
        <v>107472.586</v>
      </c>
      <c r="C20" s="85">
        <v>98585.808999999994</v>
      </c>
      <c r="D20" s="80">
        <v>282.66300000000001</v>
      </c>
      <c r="E20" s="84" t="s">
        <v>45</v>
      </c>
    </row>
    <row r="21" spans="1:5" ht="14.1" customHeight="1" x14ac:dyDescent="0.25">
      <c r="A21" s="82">
        <v>99018</v>
      </c>
      <c r="B21" s="85">
        <v>107835.318</v>
      </c>
      <c r="C21" s="85">
        <v>98887.205000000002</v>
      </c>
      <c r="D21" s="80">
        <v>277.92099999999999</v>
      </c>
      <c r="E21" s="84" t="s">
        <v>45</v>
      </c>
    </row>
    <row r="22" spans="1:5" ht="14.1" customHeight="1" x14ac:dyDescent="0.25">
      <c r="A22" s="82">
        <v>99019</v>
      </c>
      <c r="B22" s="85">
        <v>107966.72100000001</v>
      </c>
      <c r="C22" s="85">
        <v>99464.52</v>
      </c>
      <c r="D22" s="80">
        <v>286.49400000000003</v>
      </c>
      <c r="E22" s="84" t="s">
        <v>45</v>
      </c>
    </row>
    <row r="23" spans="1:5" ht="14.1" customHeight="1" x14ac:dyDescent="0.25">
      <c r="A23" s="82">
        <v>99020</v>
      </c>
      <c r="B23" s="85">
        <v>108059.516</v>
      </c>
      <c r="C23" s="85">
        <v>99776.422000000006</v>
      </c>
      <c r="D23" s="80">
        <v>312.69400000000002</v>
      </c>
      <c r="E23" s="84" t="s">
        <v>45</v>
      </c>
    </row>
    <row r="24" spans="1:5" ht="14.1" customHeight="1" x14ac:dyDescent="0.25">
      <c r="A24" s="82">
        <v>99021</v>
      </c>
      <c r="B24" s="85">
        <v>108242.96799999999</v>
      </c>
      <c r="C24" s="85">
        <v>100083.281</v>
      </c>
      <c r="D24" s="80">
        <v>312.95299999999997</v>
      </c>
      <c r="E24" s="84" t="s">
        <v>45</v>
      </c>
    </row>
    <row r="25" spans="1:5" ht="14.1" customHeight="1" x14ac:dyDescent="0.25">
      <c r="A25" s="82">
        <v>99022</v>
      </c>
      <c r="B25" s="85">
        <v>108507.458</v>
      </c>
      <c r="C25" s="85">
        <v>100422.28200000001</v>
      </c>
      <c r="D25" s="80">
        <v>302.036</v>
      </c>
      <c r="E25" s="84" t="s">
        <v>45</v>
      </c>
    </row>
    <row r="26" spans="1:5" ht="14.1" customHeight="1" x14ac:dyDescent="0.25">
      <c r="A26" s="82">
        <v>99023</v>
      </c>
      <c r="B26" s="85">
        <v>109030.29700000001</v>
      </c>
      <c r="C26" s="85">
        <v>100806.264</v>
      </c>
      <c r="D26" s="80">
        <v>305.34800000000001</v>
      </c>
      <c r="E26" s="84" t="s">
        <v>45</v>
      </c>
    </row>
    <row r="27" spans="1:5" ht="14.1" customHeight="1" x14ac:dyDescent="0.25">
      <c r="A27" s="82">
        <v>99024</v>
      </c>
      <c r="B27" s="85">
        <v>109050.337</v>
      </c>
      <c r="C27" s="85">
        <v>101125.84699999999</v>
      </c>
      <c r="D27" s="80">
        <v>314.17200000000003</v>
      </c>
      <c r="E27" s="84" t="s">
        <v>45</v>
      </c>
    </row>
    <row r="28" spans="1:5" ht="14.1" customHeight="1" x14ac:dyDescent="0.25">
      <c r="A28" s="82">
        <v>99025</v>
      </c>
      <c r="B28" s="85">
        <v>108888.71400000001</v>
      </c>
      <c r="C28" s="85">
        <v>101625.944</v>
      </c>
      <c r="D28" s="80">
        <v>344.17899999999997</v>
      </c>
      <c r="E28" s="84" t="s">
        <v>45</v>
      </c>
    </row>
    <row r="29" spans="1:5" ht="14.1" customHeight="1" x14ac:dyDescent="0.25">
      <c r="A29" s="82">
        <v>99026</v>
      </c>
      <c r="B29" s="85">
        <v>108878.868</v>
      </c>
      <c r="C29" s="85">
        <v>101929.18700000001</v>
      </c>
      <c r="D29" s="80">
        <v>375.96899999999999</v>
      </c>
      <c r="E29" s="84" t="s">
        <v>45</v>
      </c>
    </row>
    <row r="30" spans="1:5" ht="14.1" customHeight="1" x14ac:dyDescent="0.25">
      <c r="A30" s="82">
        <v>99027</v>
      </c>
      <c r="B30" s="85">
        <v>109471.643</v>
      </c>
      <c r="C30" s="85">
        <v>102161.49800000001</v>
      </c>
      <c r="D30" s="80">
        <v>436.048</v>
      </c>
      <c r="E30" s="84" t="s">
        <v>45</v>
      </c>
    </row>
    <row r="31" spans="1:5" ht="14.1" customHeight="1" x14ac:dyDescent="0.25">
      <c r="A31" s="82">
        <v>99028</v>
      </c>
      <c r="B31" s="85">
        <v>109822.541</v>
      </c>
      <c r="C31" s="85">
        <v>102279.629</v>
      </c>
      <c r="D31" s="80">
        <v>470.48399999999998</v>
      </c>
      <c r="E31" s="84" t="s">
        <v>45</v>
      </c>
    </row>
    <row r="32" spans="1:5" ht="14.1" customHeight="1" x14ac:dyDescent="0.25">
      <c r="A32" s="82">
        <v>99029</v>
      </c>
      <c r="B32" s="85">
        <v>110053.827</v>
      </c>
      <c r="C32" s="85">
        <v>102632.89200000001</v>
      </c>
      <c r="D32" s="80">
        <v>505.89499999999998</v>
      </c>
      <c r="E32" s="84" t="s">
        <v>45</v>
      </c>
    </row>
    <row r="33" spans="1:5" ht="14.1" customHeight="1" x14ac:dyDescent="0.25">
      <c r="A33" s="82">
        <v>99030</v>
      </c>
      <c r="B33" s="85">
        <v>110255.996</v>
      </c>
      <c r="C33" s="85">
        <v>102785.61500000001</v>
      </c>
      <c r="D33" s="80">
        <v>527.33100000000002</v>
      </c>
      <c r="E33" s="84" t="s">
        <v>45</v>
      </c>
    </row>
    <row r="34" spans="1:5" ht="14.1" customHeight="1" x14ac:dyDescent="0.25">
      <c r="A34" s="82">
        <v>99031</v>
      </c>
      <c r="B34" s="85">
        <v>110687.421</v>
      </c>
      <c r="C34" s="85">
        <v>102875.916</v>
      </c>
      <c r="D34" s="80">
        <v>557.03499999999997</v>
      </c>
      <c r="E34" s="84" t="s">
        <v>46</v>
      </c>
    </row>
    <row r="35" spans="1:5" ht="14.1" customHeight="1" x14ac:dyDescent="0.25">
      <c r="A35" s="82">
        <v>99032</v>
      </c>
      <c r="B35" s="85">
        <v>111179.66800000001</v>
      </c>
      <c r="C35" s="85">
        <v>103338.916</v>
      </c>
      <c r="D35" s="80">
        <v>575.94500000000005</v>
      </c>
      <c r="E35" s="84" t="s">
        <v>46</v>
      </c>
    </row>
    <row r="36" spans="1:5" ht="14.1" customHeight="1" x14ac:dyDescent="0.25">
      <c r="A36" s="82">
        <v>99033</v>
      </c>
      <c r="B36" s="85">
        <v>111579.98299999999</v>
      </c>
      <c r="C36" s="85">
        <v>103632.701</v>
      </c>
      <c r="D36" s="80">
        <v>582.44600000000003</v>
      </c>
      <c r="E36" s="84" t="s">
        <v>45</v>
      </c>
    </row>
    <row r="37" spans="1:5" ht="14.1" customHeight="1" x14ac:dyDescent="0.25">
      <c r="A37" s="82">
        <v>99034</v>
      </c>
      <c r="B37" s="83">
        <v>111805.769</v>
      </c>
      <c r="C37" s="83">
        <v>104025.879</v>
      </c>
      <c r="D37" s="83">
        <v>598.65099999999995</v>
      </c>
      <c r="E37" s="84" t="s">
        <v>45</v>
      </c>
    </row>
    <row r="38" spans="1:5" ht="15.75" customHeight="1" x14ac:dyDescent="0.25">
      <c r="A38" s="82">
        <v>99035</v>
      </c>
      <c r="B38" s="83">
        <v>112427.02899999999</v>
      </c>
      <c r="C38" s="83">
        <v>104499.838</v>
      </c>
      <c r="D38" s="83">
        <v>610.98900000000003</v>
      </c>
      <c r="E38" s="84" t="s">
        <v>45</v>
      </c>
    </row>
    <row r="39" spans="1:5" ht="15.75" customHeight="1" x14ac:dyDescent="0.25">
      <c r="A39" s="82">
        <v>99036</v>
      </c>
      <c r="B39" s="83">
        <v>112864.325</v>
      </c>
      <c r="C39" s="83">
        <v>104589.84600000001</v>
      </c>
      <c r="D39" s="83">
        <v>621.40899999999999</v>
      </c>
      <c r="E39" s="84" t="s">
        <v>45</v>
      </c>
    </row>
    <row r="40" spans="1:5" ht="15.75" customHeight="1" x14ac:dyDescent="0.25">
      <c r="A40" s="82">
        <v>99037</v>
      </c>
      <c r="B40" s="83">
        <v>113260.69100000001</v>
      </c>
      <c r="C40" s="83">
        <v>105153.41099999999</v>
      </c>
      <c r="D40" s="83">
        <v>642.10699999999997</v>
      </c>
      <c r="E40" s="84" t="s">
        <v>45</v>
      </c>
    </row>
    <row r="41" spans="1:5" ht="15.75" customHeight="1" x14ac:dyDescent="0.25">
      <c r="A41" s="82">
        <v>99038</v>
      </c>
      <c r="B41" s="83">
        <v>113912.099</v>
      </c>
      <c r="C41" s="83">
        <v>105737.74800000001</v>
      </c>
      <c r="D41" s="83">
        <v>659.76</v>
      </c>
      <c r="E41" s="84" t="s">
        <v>45</v>
      </c>
    </row>
    <row r="42" spans="1:5" ht="15.75" customHeight="1" x14ac:dyDescent="0.25">
      <c r="A42" s="82">
        <v>99039</v>
      </c>
      <c r="B42" s="83">
        <v>114394.95699999999</v>
      </c>
      <c r="C42" s="83">
        <v>105992.16</v>
      </c>
      <c r="D42" s="83">
        <v>639.76900000000001</v>
      </c>
      <c r="E42" s="84" t="s">
        <v>45</v>
      </c>
    </row>
    <row r="43" spans="1:5" ht="15.75" customHeight="1" x14ac:dyDescent="0.25">
      <c r="A43" s="82">
        <v>99040</v>
      </c>
      <c r="B43" s="83">
        <v>114952.348</v>
      </c>
      <c r="C43" s="83">
        <v>106508.09</v>
      </c>
      <c r="D43" s="83">
        <v>610.09500000000003</v>
      </c>
      <c r="E43" s="84" t="s">
        <v>45</v>
      </c>
    </row>
    <row r="44" spans="1:5" ht="15.75" customHeight="1" x14ac:dyDescent="0.25">
      <c r="A44" s="82">
        <v>99041</v>
      </c>
      <c r="B44" s="83">
        <v>115855.35</v>
      </c>
      <c r="C44" s="83">
        <v>106866.242</v>
      </c>
      <c r="D44" s="83">
        <v>632.96900000000005</v>
      </c>
      <c r="E44" s="84" t="s">
        <v>45</v>
      </c>
    </row>
    <row r="45" spans="1:5" ht="15.75" customHeight="1" x14ac:dyDescent="0.25">
      <c r="A45" s="82">
        <v>99042</v>
      </c>
      <c r="B45" s="83">
        <v>116188.697</v>
      </c>
      <c r="C45" s="83">
        <v>107118.61900000001</v>
      </c>
      <c r="D45" s="83">
        <v>639.70500000000004</v>
      </c>
      <c r="E45" s="84" t="s">
        <v>45</v>
      </c>
    </row>
    <row r="46" spans="1:5" ht="15.75" customHeight="1" x14ac:dyDescent="0.25">
      <c r="A46" s="82">
        <v>99043</v>
      </c>
      <c r="B46" s="83">
        <v>116683.18700000001</v>
      </c>
      <c r="C46" s="83">
        <v>108007.917</v>
      </c>
      <c r="D46" s="83">
        <v>627.79499999999996</v>
      </c>
      <c r="E46" s="84" t="s">
        <v>45</v>
      </c>
    </row>
    <row r="47" spans="1:5" ht="15.75" customHeight="1" x14ac:dyDescent="0.25">
      <c r="A47" s="82">
        <v>99044</v>
      </c>
      <c r="B47" s="83">
        <v>117800.96400000001</v>
      </c>
      <c r="C47" s="83">
        <v>108555.569</v>
      </c>
      <c r="D47" s="83">
        <v>614.72500000000002</v>
      </c>
      <c r="E47" s="84" t="s">
        <v>45</v>
      </c>
    </row>
    <row r="48" spans="1:5" ht="15.75" customHeight="1" x14ac:dyDescent="0.25">
      <c r="A48" s="82">
        <v>99045</v>
      </c>
      <c r="B48" s="83">
        <v>118623.02499999999</v>
      </c>
      <c r="C48" s="83">
        <v>108873.34699999999</v>
      </c>
      <c r="D48" s="83">
        <v>586.399</v>
      </c>
      <c r="E48" s="84" t="s">
        <v>45</v>
      </c>
    </row>
    <row r="49" spans="1:5" ht="15.75" customHeight="1" x14ac:dyDescent="0.25">
      <c r="A49" s="82">
        <v>99046</v>
      </c>
      <c r="B49" s="83">
        <v>118878.584</v>
      </c>
      <c r="C49" s="83">
        <v>108728.67200000001</v>
      </c>
      <c r="D49" s="83">
        <v>584.86500000000001</v>
      </c>
      <c r="E49" s="84" t="s">
        <v>45</v>
      </c>
    </row>
    <row r="50" spans="1:5" ht="15.75" customHeight="1" x14ac:dyDescent="0.25">
      <c r="A50" s="82">
        <v>99047</v>
      </c>
      <c r="B50" s="85">
        <v>119082.338</v>
      </c>
      <c r="C50" s="85">
        <v>107567.895</v>
      </c>
      <c r="D50" s="85">
        <v>577.625</v>
      </c>
      <c r="E50" s="84" t="s">
        <v>45</v>
      </c>
    </row>
    <row r="51" spans="1:5" ht="15.75" customHeight="1" x14ac:dyDescent="0.25">
      <c r="A51" s="86">
        <v>99048</v>
      </c>
      <c r="B51" s="87">
        <v>119437.00599999999</v>
      </c>
      <c r="C51" s="87">
        <v>107332.554</v>
      </c>
      <c r="D51" s="87">
        <v>588.83600000000001</v>
      </c>
      <c r="E51" s="88" t="s">
        <v>45</v>
      </c>
    </row>
    <row r="52" spans="1:5" ht="15.75" customHeight="1" x14ac:dyDescent="0.25">
      <c r="A52" s="82">
        <v>99049</v>
      </c>
      <c r="B52" s="85">
        <v>119876.928</v>
      </c>
      <c r="C52" s="85">
        <v>107485.913</v>
      </c>
      <c r="D52" s="85">
        <v>591.16700000000003</v>
      </c>
      <c r="E52" s="84" t="s">
        <v>45</v>
      </c>
    </row>
    <row r="53" spans="1:5" ht="15.75" customHeight="1" x14ac:dyDescent="0.25">
      <c r="A53" s="89">
        <v>99050</v>
      </c>
      <c r="B53" s="85">
        <v>120293.522</v>
      </c>
      <c r="C53" s="85">
        <v>108147.785</v>
      </c>
      <c r="D53" s="85">
        <v>580.02800000000002</v>
      </c>
      <c r="E53" s="84" t="s">
        <v>45</v>
      </c>
    </row>
    <row r="54" spans="1:5" ht="15.75" customHeight="1" x14ac:dyDescent="0.25">
      <c r="A54" s="82">
        <v>99051</v>
      </c>
      <c r="B54" s="85">
        <v>120923.59699999999</v>
      </c>
      <c r="C54" s="85">
        <v>108445.989</v>
      </c>
      <c r="D54" s="85">
        <v>583.971</v>
      </c>
      <c r="E54" s="84" t="s">
        <v>45</v>
      </c>
    </row>
    <row r="55" spans="1:5" ht="15.75" customHeight="1" x14ac:dyDescent="0.25">
      <c r="A55" s="82">
        <v>99052</v>
      </c>
      <c r="B55" s="85">
        <v>121678.484</v>
      </c>
      <c r="C55" s="85">
        <v>108693.46400000001</v>
      </c>
      <c r="D55" s="85">
        <v>590.70299999999997</v>
      </c>
      <c r="E55" s="84" t="s">
        <v>45</v>
      </c>
    </row>
    <row r="56" spans="1:5" ht="15.75" customHeight="1" x14ac:dyDescent="0.25">
      <c r="A56" s="82">
        <v>99053</v>
      </c>
      <c r="B56" s="85">
        <v>122549.45</v>
      </c>
      <c r="C56" s="85">
        <v>108861.148</v>
      </c>
      <c r="D56" s="85">
        <v>578.93100000000004</v>
      </c>
      <c r="E56" s="84" t="s">
        <v>45</v>
      </c>
    </row>
    <row r="57" spans="1:5" ht="15.75" customHeight="1" x14ac:dyDescent="0.25">
      <c r="A57" s="82">
        <v>99054</v>
      </c>
      <c r="B57" s="85">
        <v>123223.92</v>
      </c>
      <c r="C57" s="85">
        <v>108911.754</v>
      </c>
      <c r="D57" s="85">
        <v>557.81799999999998</v>
      </c>
      <c r="E57" s="84" t="s">
        <v>45</v>
      </c>
    </row>
    <row r="58" spans="1:5" x14ac:dyDescent="0.25">
      <c r="A58" s="82">
        <v>99055</v>
      </c>
      <c r="B58" s="85">
        <v>124045.185</v>
      </c>
      <c r="C58" s="85">
        <v>109061.522</v>
      </c>
      <c r="D58" s="85">
        <v>553.01700000000005</v>
      </c>
      <c r="E58" s="84" t="s">
        <v>47</v>
      </c>
    </row>
    <row r="59" spans="1:5" x14ac:dyDescent="0.25">
      <c r="A59" s="82">
        <v>99056</v>
      </c>
      <c r="B59" s="85">
        <v>124394.185</v>
      </c>
      <c r="C59" s="85">
        <v>109256.64599999999</v>
      </c>
      <c r="D59" s="85">
        <v>548.928</v>
      </c>
      <c r="E59" s="84" t="s">
        <v>45</v>
      </c>
    </row>
    <row r="60" spans="1:5" x14ac:dyDescent="0.25">
      <c r="A60" s="82">
        <v>99057</v>
      </c>
      <c r="B60" s="85">
        <v>124690.185</v>
      </c>
      <c r="C60" s="85">
        <v>109815.895</v>
      </c>
      <c r="D60" s="85">
        <v>539.96199999999999</v>
      </c>
      <c r="E60" s="84" t="s">
        <v>45</v>
      </c>
    </row>
    <row r="61" spans="1:5" x14ac:dyDescent="0.25">
      <c r="A61" s="82">
        <v>99058</v>
      </c>
      <c r="B61" s="85">
        <v>125084.355</v>
      </c>
      <c r="C61" s="85">
        <v>110138.935</v>
      </c>
      <c r="D61" s="85">
        <v>543.84100000000001</v>
      </c>
      <c r="E61" s="84" t="s">
        <v>45</v>
      </c>
    </row>
    <row r="62" spans="1:5" x14ac:dyDescent="0.25">
      <c r="A62" s="82">
        <v>99059</v>
      </c>
      <c r="B62" s="85">
        <v>125759.033</v>
      </c>
      <c r="C62" s="85">
        <v>110403.64599999999</v>
      </c>
      <c r="D62" s="85">
        <v>566.77200000000005</v>
      </c>
      <c r="E62" s="84" t="s">
        <v>45</v>
      </c>
    </row>
    <row r="63" spans="1:5" x14ac:dyDescent="0.25">
      <c r="A63" s="82">
        <v>99060</v>
      </c>
      <c r="B63" s="85">
        <v>125977.11900000001</v>
      </c>
      <c r="C63" s="85">
        <v>110801.819</v>
      </c>
      <c r="D63" s="85">
        <v>572.50400000000002</v>
      </c>
      <c r="E63" s="84" t="s">
        <v>45</v>
      </c>
    </row>
    <row r="64" spans="1:5" x14ac:dyDescent="0.25">
      <c r="A64" s="82">
        <v>99061</v>
      </c>
      <c r="B64" s="85">
        <v>126427.126</v>
      </c>
      <c r="C64" s="85">
        <v>111093.27</v>
      </c>
      <c r="D64" s="85">
        <v>581.80999999999995</v>
      </c>
      <c r="E64" s="84" t="s">
        <v>45</v>
      </c>
    </row>
    <row r="65" spans="1:5" x14ac:dyDescent="0.25">
      <c r="A65" s="82">
        <v>99062</v>
      </c>
      <c r="B65" s="85">
        <v>126764.205</v>
      </c>
      <c r="C65" s="85">
        <v>111335.401</v>
      </c>
      <c r="D65" s="85">
        <v>578.89</v>
      </c>
      <c r="E65" s="84" t="s">
        <v>45</v>
      </c>
    </row>
    <row r="66" spans="1:5" x14ac:dyDescent="0.25">
      <c r="A66" s="82">
        <v>99063</v>
      </c>
      <c r="B66" s="85">
        <v>127603.963</v>
      </c>
      <c r="C66" s="85">
        <v>111386.80499999999</v>
      </c>
      <c r="D66" s="85">
        <v>576.279</v>
      </c>
      <c r="E66" s="84" t="s">
        <v>45</v>
      </c>
    </row>
    <row r="67" spans="1:5" x14ac:dyDescent="0.25">
      <c r="A67" s="82">
        <v>99064</v>
      </c>
      <c r="B67" s="85">
        <v>128336.14</v>
      </c>
      <c r="C67" s="85">
        <v>111100.749</v>
      </c>
      <c r="D67" s="85">
        <v>536.625</v>
      </c>
      <c r="E67" s="84" t="s">
        <v>45</v>
      </c>
    </row>
    <row r="68" spans="1:5" x14ac:dyDescent="0.25">
      <c r="A68" s="82">
        <v>99065</v>
      </c>
      <c r="B68" s="85">
        <v>128748.319</v>
      </c>
      <c r="C68" s="85">
        <v>110363.716</v>
      </c>
      <c r="D68" s="85">
        <v>513.98699999999997</v>
      </c>
      <c r="E68" s="84" t="s">
        <v>45</v>
      </c>
    </row>
    <row r="69" spans="1:5" x14ac:dyDescent="0.25">
      <c r="A69" s="82">
        <v>99066</v>
      </c>
      <c r="B69" s="85">
        <v>128780.587</v>
      </c>
      <c r="C69" s="85">
        <v>109629.427</v>
      </c>
      <c r="D69" s="85">
        <v>494.642</v>
      </c>
      <c r="E69" s="84" t="s">
        <v>45</v>
      </c>
    </row>
    <row r="70" spans="1:5" x14ac:dyDescent="0.25">
      <c r="A70" s="82">
        <v>99067</v>
      </c>
      <c r="B70" s="83">
        <v>129388.929</v>
      </c>
      <c r="C70" s="83">
        <v>108961.747</v>
      </c>
      <c r="D70" s="83">
        <v>474.14699999999999</v>
      </c>
      <c r="E70" s="84" t="s">
        <v>45</v>
      </c>
    </row>
    <row r="71" spans="1:5" x14ac:dyDescent="0.25">
      <c r="A71" s="82">
        <v>99068</v>
      </c>
      <c r="B71" s="83">
        <v>129635.30899999999</v>
      </c>
      <c r="C71" s="83">
        <v>108329.88</v>
      </c>
      <c r="D71" s="83">
        <v>432.03100000000001</v>
      </c>
      <c r="E71" s="84" t="s">
        <v>45</v>
      </c>
    </row>
    <row r="72" spans="1:5" x14ac:dyDescent="0.25">
      <c r="A72" s="82">
        <v>99069</v>
      </c>
      <c r="B72" s="83">
        <v>130059.431</v>
      </c>
      <c r="C72" s="83">
        <v>108016.542</v>
      </c>
      <c r="D72" s="83">
        <v>441.80500000000001</v>
      </c>
      <c r="E72" s="84" t="s">
        <v>45</v>
      </c>
    </row>
    <row r="73" spans="1:5" x14ac:dyDescent="0.25">
      <c r="A73" s="82">
        <v>99070</v>
      </c>
      <c r="B73" s="83">
        <v>130393.099</v>
      </c>
      <c r="C73" s="83">
        <v>107855.443</v>
      </c>
      <c r="D73" s="83">
        <v>426.72500000000002</v>
      </c>
      <c r="E73" s="84" t="s">
        <v>47</v>
      </c>
    </row>
    <row r="74" spans="1:5" x14ac:dyDescent="0.25">
      <c r="A74" s="82">
        <v>99071</v>
      </c>
      <c r="B74" s="83">
        <v>130879.005</v>
      </c>
      <c r="C74" s="83">
        <v>108126.47</v>
      </c>
      <c r="D74" s="83">
        <v>416.654</v>
      </c>
      <c r="E74" s="84" t="s">
        <v>45</v>
      </c>
    </row>
    <row r="75" spans="1:5" x14ac:dyDescent="0.25">
      <c r="A75" s="82">
        <v>99072</v>
      </c>
      <c r="B75" s="83">
        <v>131543.351</v>
      </c>
      <c r="C75" s="83">
        <v>108106.96</v>
      </c>
      <c r="D75" s="83">
        <v>422.07799999999997</v>
      </c>
      <c r="E75" s="84" t="s">
        <v>45</v>
      </c>
    </row>
    <row r="76" spans="1:5" x14ac:dyDescent="0.25">
      <c r="A76" s="82">
        <v>99073</v>
      </c>
      <c r="B76" s="83">
        <v>132294.58100000001</v>
      </c>
      <c r="C76" s="83">
        <v>107495.989</v>
      </c>
      <c r="D76" s="83">
        <v>412.851</v>
      </c>
      <c r="E76" s="84" t="s">
        <v>45</v>
      </c>
    </row>
    <row r="77" spans="1:5" x14ac:dyDescent="0.25">
      <c r="A77" s="82">
        <v>99074</v>
      </c>
      <c r="B77" s="83">
        <v>132779.467</v>
      </c>
      <c r="C77" s="83">
        <v>106975.273</v>
      </c>
      <c r="D77" s="83">
        <v>431.49799999999999</v>
      </c>
      <c r="E77" s="84" t="s">
        <v>45</v>
      </c>
    </row>
    <row r="78" spans="1:5" x14ac:dyDescent="0.25">
      <c r="A78" s="82">
        <v>99075</v>
      </c>
      <c r="B78" s="83">
        <v>133228.014</v>
      </c>
      <c r="C78" s="83">
        <v>106627.78200000001</v>
      </c>
      <c r="D78" s="83">
        <v>416.68200000000002</v>
      </c>
      <c r="E78" s="84" t="s">
        <v>45</v>
      </c>
    </row>
    <row r="79" spans="1:5" x14ac:dyDescent="0.25">
      <c r="A79" s="82">
        <v>99076</v>
      </c>
      <c r="B79" s="83">
        <v>134038.878</v>
      </c>
      <c r="C79" s="83">
        <v>106694.842</v>
      </c>
      <c r="D79" s="83">
        <v>423.01100000000002</v>
      </c>
      <c r="E79" s="84" t="s">
        <v>45</v>
      </c>
    </row>
    <row r="80" spans="1:5" x14ac:dyDescent="0.25">
      <c r="A80" s="82">
        <v>99077</v>
      </c>
      <c r="B80" s="83">
        <v>135108.97700000001</v>
      </c>
      <c r="C80" s="83">
        <v>106720.129</v>
      </c>
      <c r="D80" s="83">
        <v>432.029</v>
      </c>
      <c r="E80" s="84" t="s">
        <v>45</v>
      </c>
    </row>
    <row r="81" spans="1:5" x14ac:dyDescent="0.25">
      <c r="A81" s="82">
        <v>99078</v>
      </c>
      <c r="B81" s="83">
        <v>135893.84099999999</v>
      </c>
      <c r="C81" s="83">
        <v>106194.232</v>
      </c>
      <c r="D81" s="83">
        <v>431.2</v>
      </c>
      <c r="E81" s="84" t="s">
        <v>45</v>
      </c>
    </row>
    <row r="82" spans="1:5" x14ac:dyDescent="0.25">
      <c r="A82" s="82">
        <v>99079</v>
      </c>
      <c r="B82" s="83">
        <v>136389.23000000001</v>
      </c>
      <c r="C82" s="83">
        <v>105912.955</v>
      </c>
      <c r="D82" s="83">
        <v>429.98099999999999</v>
      </c>
      <c r="E82" s="84" t="s">
        <v>45</v>
      </c>
    </row>
    <row r="83" spans="1:5" x14ac:dyDescent="0.25">
      <c r="A83" s="82">
        <v>99080</v>
      </c>
      <c r="B83" s="85">
        <v>136813.01800000001</v>
      </c>
      <c r="C83" s="85">
        <v>105956.067</v>
      </c>
      <c r="D83" s="85">
        <v>434.24099999999999</v>
      </c>
      <c r="E83" s="84" t="s">
        <v>45</v>
      </c>
    </row>
    <row r="84" spans="1:5" x14ac:dyDescent="0.25">
      <c r="A84" s="86">
        <v>99081</v>
      </c>
      <c r="B84" s="87">
        <v>137433.73199999999</v>
      </c>
      <c r="C84" s="87">
        <v>106273.08100000001</v>
      </c>
      <c r="D84" s="87">
        <v>442.22199999999998</v>
      </c>
      <c r="E84" s="88" t="s">
        <v>45</v>
      </c>
    </row>
    <row r="85" spans="1:5" x14ac:dyDescent="0.25">
      <c r="A85" s="82">
        <v>99082</v>
      </c>
      <c r="B85" s="85">
        <v>138335.74400000001</v>
      </c>
      <c r="C85" s="85">
        <v>106306.67</v>
      </c>
      <c r="D85" s="85">
        <v>455.601</v>
      </c>
      <c r="E85" s="84" t="s">
        <v>45</v>
      </c>
    </row>
    <row r="86" spans="1:5" x14ac:dyDescent="0.25">
      <c r="A86" s="89">
        <v>99083</v>
      </c>
      <c r="B86" s="85">
        <v>139120.117</v>
      </c>
      <c r="C86" s="85">
        <v>106350.433</v>
      </c>
      <c r="D86" s="85">
        <v>489.79599999999999</v>
      </c>
      <c r="E86" s="84" t="s">
        <v>45</v>
      </c>
    </row>
    <row r="87" spans="1:5" x14ac:dyDescent="0.25">
      <c r="A87" s="82">
        <v>99084</v>
      </c>
      <c r="B87" s="85">
        <v>139925.63399999999</v>
      </c>
      <c r="C87" s="85">
        <v>106494.728</v>
      </c>
      <c r="D87" s="85">
        <v>540.64200000000005</v>
      </c>
      <c r="E87" s="84" t="s">
        <v>45</v>
      </c>
    </row>
    <row r="88" spans="1:5" x14ac:dyDescent="0.25">
      <c r="A88" s="82">
        <v>99085</v>
      </c>
      <c r="B88" s="85">
        <v>140428.364</v>
      </c>
      <c r="C88" s="85">
        <v>106696.94500000001</v>
      </c>
      <c r="D88" s="85">
        <v>537.71799999999996</v>
      </c>
      <c r="E88" s="84" t="s">
        <v>45</v>
      </c>
    </row>
    <row r="89" spans="1:5" x14ac:dyDescent="0.25">
      <c r="A89" s="82">
        <v>99086</v>
      </c>
      <c r="B89" s="85">
        <v>141388.86799999999</v>
      </c>
      <c r="C89" s="85">
        <v>106576.26700000001</v>
      </c>
      <c r="D89" s="85">
        <v>527.04700000000003</v>
      </c>
      <c r="E89" s="84" t="s">
        <v>45</v>
      </c>
    </row>
    <row r="90" spans="1:5" x14ac:dyDescent="0.25">
      <c r="A90" s="82">
        <v>99087</v>
      </c>
      <c r="B90" s="85">
        <v>141659.40599999999</v>
      </c>
      <c r="C90" s="85">
        <v>106135.56200000001</v>
      </c>
      <c r="D90" s="85">
        <v>522.02700000000004</v>
      </c>
      <c r="E90" s="84" t="s">
        <v>45</v>
      </c>
    </row>
    <row r="91" spans="1:5" x14ac:dyDescent="0.25">
      <c r="A91" s="82">
        <v>99088</v>
      </c>
      <c r="B91" s="85">
        <v>142244.601</v>
      </c>
      <c r="C91" s="85">
        <v>105254.986</v>
      </c>
      <c r="D91" s="85">
        <v>522.33000000000004</v>
      </c>
      <c r="E91" s="84" t="s">
        <v>45</v>
      </c>
    </row>
    <row r="92" spans="1:5" x14ac:dyDescent="0.25">
      <c r="A92" s="82">
        <v>99089</v>
      </c>
      <c r="B92" s="85">
        <v>142639.23699999999</v>
      </c>
      <c r="C92" s="85">
        <v>104950.39999999999</v>
      </c>
      <c r="D92" s="85">
        <v>533.00099999999998</v>
      </c>
      <c r="E92" s="84" t="s">
        <v>45</v>
      </c>
    </row>
    <row r="93" spans="1:5" x14ac:dyDescent="0.25">
      <c r="A93" s="82">
        <v>99090</v>
      </c>
      <c r="B93" s="85">
        <v>143385.95300000001</v>
      </c>
      <c r="C93" s="85">
        <v>104862.327</v>
      </c>
      <c r="D93" s="85">
        <v>541.35299999999995</v>
      </c>
      <c r="E93" s="84" t="s">
        <v>45</v>
      </c>
    </row>
    <row r="94" spans="1:5" x14ac:dyDescent="0.25">
      <c r="A94" s="82">
        <v>99091</v>
      </c>
      <c r="B94" s="85">
        <v>144360.15</v>
      </c>
      <c r="C94" s="85">
        <v>104672.412</v>
      </c>
      <c r="D94" s="85">
        <v>549.04100000000005</v>
      </c>
      <c r="E94" s="84" t="s">
        <v>47</v>
      </c>
    </row>
    <row r="95" spans="1:5" x14ac:dyDescent="0.25">
      <c r="A95" s="82">
        <v>99092</v>
      </c>
      <c r="B95" s="85">
        <v>145166.58900000001</v>
      </c>
      <c r="C95" s="85">
        <v>104844.909</v>
      </c>
      <c r="D95" s="85">
        <v>560.68700000000001</v>
      </c>
      <c r="E95" s="84" t="s">
        <v>45</v>
      </c>
    </row>
    <row r="96" spans="1:5" x14ac:dyDescent="0.25">
      <c r="A96" s="82">
        <v>99093</v>
      </c>
      <c r="B96" s="85">
        <v>146121.87599999999</v>
      </c>
      <c r="C96" s="85">
        <v>104975.97100000001</v>
      </c>
      <c r="D96" s="85">
        <v>578.72500000000002</v>
      </c>
      <c r="E96" s="84" t="s">
        <v>45</v>
      </c>
    </row>
    <row r="97" spans="1:5" x14ac:dyDescent="0.25">
      <c r="A97" s="82">
        <v>99094</v>
      </c>
      <c r="B97" s="85">
        <v>146959.51999999999</v>
      </c>
      <c r="C97" s="85">
        <v>104645.125</v>
      </c>
      <c r="D97" s="85">
        <v>594.41399999999999</v>
      </c>
      <c r="E97" s="84" t="s">
        <v>45</v>
      </c>
    </row>
    <row r="98" spans="1:5" x14ac:dyDescent="0.25">
      <c r="A98" s="82">
        <v>99095</v>
      </c>
      <c r="B98" s="85">
        <v>147552.53099999999</v>
      </c>
      <c r="C98" s="85">
        <v>104441.027</v>
      </c>
      <c r="D98" s="85">
        <v>606.82000000000005</v>
      </c>
      <c r="E98" s="84" t="s">
        <v>45</v>
      </c>
    </row>
    <row r="99" spans="1:5" x14ac:dyDescent="0.25">
      <c r="A99" s="82">
        <v>99096</v>
      </c>
      <c r="B99" s="85">
        <v>148858.76199999999</v>
      </c>
      <c r="C99" s="85">
        <v>104044.31299999999</v>
      </c>
      <c r="D99" s="85">
        <v>632.053</v>
      </c>
      <c r="E99" s="84" t="s">
        <v>45</v>
      </c>
    </row>
    <row r="100" spans="1:5" x14ac:dyDescent="0.25">
      <c r="A100" s="82">
        <v>99097</v>
      </c>
      <c r="B100" s="85">
        <v>148987.27799999999</v>
      </c>
      <c r="C100" s="85">
        <v>103273.947</v>
      </c>
      <c r="D100" s="85">
        <v>631.48900000000003</v>
      </c>
      <c r="E100" s="84" t="s">
        <v>45</v>
      </c>
    </row>
    <row r="101" spans="1:5" x14ac:dyDescent="0.25">
      <c r="A101" s="82">
        <v>99098</v>
      </c>
      <c r="B101" s="85">
        <v>149011.986</v>
      </c>
      <c r="C101" s="85">
        <v>102715.306</v>
      </c>
      <c r="D101" s="85">
        <v>615.20699999999999</v>
      </c>
      <c r="E101" s="84" t="s">
        <v>45</v>
      </c>
    </row>
    <row r="102" spans="1:5" ht="16.5" thickBot="1" x14ac:dyDescent="0.3">
      <c r="A102" s="90">
        <v>99099</v>
      </c>
      <c r="B102" s="91">
        <v>149358.351</v>
      </c>
      <c r="C102" s="91">
        <v>102496.789</v>
      </c>
      <c r="D102" s="91">
        <v>612.73599999999999</v>
      </c>
      <c r="E102" s="92" t="s">
        <v>45</v>
      </c>
    </row>
    <row r="103" spans="1:5" ht="16.5" thickTop="1" x14ac:dyDescent="0.25"/>
  </sheetData>
  <mergeCells count="3">
    <mergeCell ref="A1:D1"/>
    <mergeCell ref="B2:D2"/>
    <mergeCell ref="E1:H1"/>
  </mergeCells>
  <pageMargins left="0.75" right="0.75" top="1" bottom="1" header="0.5" footer="0.5"/>
  <pageSetup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Information</vt:lpstr>
      <vt:lpstr>Sheet</vt:lpstr>
      <vt:lpstr>Assumed Data</vt:lpstr>
      <vt:lpstr>Base</vt:lpstr>
      <vt:lpstr>Data.rows</vt:lpstr>
      <vt:lpstr>Data_col</vt:lpstr>
      <vt:lpstr>Sheet!Filename</vt:lpstr>
      <vt:lpstr>Sheet!Header1</vt:lpstr>
      <vt:lpstr>Sheet!Header2</vt:lpstr>
      <vt:lpstr>Heading</vt:lpstr>
      <vt:lpstr>Location</vt:lpstr>
      <vt:lpstr>Max_rows</vt:lpstr>
      <vt:lpstr>Min_rows</vt:lpstr>
      <vt:lpstr>Needed</vt:lpstr>
      <vt:lpstr>NPS.Drwg</vt:lpstr>
      <vt:lpstr>NPS.PMIS</vt:lpstr>
      <vt:lpstr>Order</vt:lpstr>
      <vt:lpstr>Sheet!Print_Area</vt:lpstr>
      <vt:lpstr>Project</vt:lpstr>
      <vt:lpstr>Sheet</vt:lpstr>
      <vt:lpstr>Sheet!Sheet.number</vt:lpstr>
      <vt:lpstr>Show_totals</vt:lpstr>
      <vt:lpstr>Start.Row</vt:lpstr>
      <vt:lpstr>Table.rows</vt:lpstr>
      <vt:lpstr>Sheet!Time</vt:lpstr>
      <vt:lpstr>Title</vt:lpstr>
      <vt:lpstr>Total</vt:lpstr>
      <vt:lpstr>Sheet!Totals</vt:lpstr>
    </vt:vector>
  </TitlesOfParts>
  <Company>Federal Highway Administration, WFLHD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Survey Control (Assumed data)</dc:title>
  <dc:subject>Tables for survey control</dc:subject>
  <dc:creator>Stephen Chapman</dc:creator>
  <cp:lastModifiedBy>Chapman, Stephen (FHWA)</cp:lastModifiedBy>
  <cp:lastPrinted>2023-09-19T21:12:37Z</cp:lastPrinted>
  <dcterms:created xsi:type="dcterms:W3CDTF">2004-11-16T18:14:39Z</dcterms:created>
  <dcterms:modified xsi:type="dcterms:W3CDTF">2024-08-12T18:39:23Z</dcterms:modified>
</cp:coreProperties>
</file>